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ELL\Desktop\SEBI Upload Doc\"/>
    </mc:Choice>
  </mc:AlternateContent>
  <xr:revisionPtr revIDLastSave="0" documentId="13_ncr:1_{CF396733-C61E-42EA-8AEB-1118FC8EAB48}" xr6:coauthVersionLast="47" xr6:coauthVersionMax="47" xr10:uidLastSave="{00000000-0000-0000-0000-000000000000}"/>
  <bookViews>
    <workbookView xWindow="-120" yWindow="-120" windowWidth="29040" windowHeight="15720" tabRatio="830" xr2:uid="{00000000-000D-0000-FFFF-FFFF00000000}"/>
  </bookViews>
  <sheets>
    <sheet name="One Year-Fixed Fees" sheetId="7" r:id="rId1"/>
    <sheet name="One Year-Hybrid Fees" sheetId="6" r:id="rId2"/>
    <sheet name="One Year- Variable Fees" sheetId="10" r:id="rId3"/>
    <sheet name="Multi Year- Hybrid Fees" sheetId="14" r:id="rId4"/>
  </sheets>
  <definedNames>
    <definedName name="_xlnm.Print_Area" localSheetId="1">'One Year-Hybrid Fees'!$A$1:$M$49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6" i="14" l="1"/>
  <c r="N34" i="14"/>
  <c r="N33" i="14"/>
  <c r="L36" i="14"/>
  <c r="L34" i="14"/>
  <c r="L33" i="14"/>
  <c r="L26" i="14"/>
  <c r="J26" i="14"/>
  <c r="N13" i="14"/>
  <c r="N14" i="14"/>
  <c r="N15" i="14"/>
  <c r="J28" i="14"/>
  <c r="J29" i="14" s="1"/>
  <c r="J25" i="14"/>
  <c r="N25" i="14"/>
  <c r="N26" i="14" s="1"/>
  <c r="J24" i="14"/>
  <c r="J13" i="14"/>
  <c r="H36" i="14"/>
  <c r="F36" i="14"/>
  <c r="F33" i="14"/>
  <c r="F30" i="14"/>
  <c r="F29" i="14"/>
  <c r="F31" i="14"/>
  <c r="N17" i="14" l="1"/>
  <c r="J33" i="14"/>
  <c r="J30" i="14"/>
  <c r="J36" i="14" s="1"/>
  <c r="L25" i="14" s="1"/>
  <c r="J31" i="14"/>
  <c r="J15" i="14"/>
  <c r="J17" i="14" s="1"/>
  <c r="J14" i="14"/>
  <c r="H25" i="14"/>
  <c r="H26" i="14" s="1"/>
  <c r="J34" i="14" l="1"/>
  <c r="L13" i="14"/>
  <c r="N21" i="14"/>
  <c r="N19" i="14"/>
  <c r="N20" i="14"/>
  <c r="J19" i="14"/>
  <c r="J22" i="14" s="1"/>
  <c r="J20" i="14"/>
  <c r="J21" i="14"/>
  <c r="H13" i="14"/>
  <c r="F34" i="14"/>
  <c r="L14" i="14" l="1"/>
  <c r="L15" i="14" s="1"/>
  <c r="L17" i="14" s="1"/>
  <c r="N22" i="14"/>
  <c r="N24" i="14" s="1"/>
  <c r="N28" i="14" s="1"/>
  <c r="N29" i="14" s="1"/>
  <c r="H14" i="14"/>
  <c r="H15" i="14" s="1"/>
  <c r="H17" i="14" s="1"/>
  <c r="L19" i="14" l="1"/>
  <c r="L20" i="14"/>
  <c r="L21" i="14"/>
  <c r="N30" i="14"/>
  <c r="N31" i="14"/>
  <c r="H21" i="14"/>
  <c r="H19" i="14"/>
  <c r="H20" i="14"/>
  <c r="L22" i="14" l="1"/>
  <c r="L24" i="14" s="1"/>
  <c r="L28" i="14" s="1"/>
  <c r="L29" i="14" s="1"/>
  <c r="L30" i="14" s="1"/>
  <c r="L31" i="14"/>
  <c r="H22" i="14"/>
  <c r="H24" i="14" s="1"/>
  <c r="H28" i="14" l="1"/>
  <c r="H29" i="14" s="1"/>
  <c r="H30" i="14" l="1"/>
  <c r="H33" i="14"/>
  <c r="H34" i="14" s="1"/>
  <c r="H31" i="14"/>
  <c r="F28" i="14" l="1"/>
  <c r="F26" i="14"/>
  <c r="F25" i="14"/>
  <c r="F24" i="14"/>
  <c r="F22" i="14"/>
  <c r="F21" i="14"/>
  <c r="F20" i="14"/>
  <c r="F19" i="14"/>
  <c r="F17" i="14"/>
  <c r="F15" i="14"/>
  <c r="F14" i="14"/>
  <c r="F13" i="14"/>
  <c r="B26" i="7"/>
  <c r="B27" i="7" s="1"/>
  <c r="B28" i="7" s="1"/>
  <c r="B29" i="7" s="1"/>
  <c r="B30" i="7" s="1"/>
  <c r="B39" i="10"/>
  <c r="B40" i="10" s="1"/>
  <c r="B41" i="10" s="1"/>
  <c r="B42" i="10" s="1"/>
  <c r="B43" i="10" s="1"/>
  <c r="B44" i="10" s="1"/>
  <c r="B45" i="10" s="1"/>
  <c r="B46" i="10" s="1"/>
  <c r="B47" i="10" s="1"/>
  <c r="B48" i="10" s="1"/>
  <c r="J12" i="10" l="1"/>
  <c r="J24" i="10" s="1"/>
  <c r="H12" i="10"/>
  <c r="H24" i="10" s="1"/>
  <c r="F12" i="10"/>
  <c r="F24" i="10" s="1"/>
  <c r="B31" i="7"/>
  <c r="B39" i="6"/>
  <c r="B40" i="6" s="1"/>
  <c r="B41" i="6" s="1"/>
  <c r="B42" i="6" s="1"/>
  <c r="B43" i="6" s="1"/>
  <c r="B44" i="6" s="1"/>
  <c r="B45" i="6" s="1"/>
  <c r="B46" i="6" s="1"/>
  <c r="B47" i="6" s="1"/>
  <c r="B48" i="6" s="1"/>
  <c r="F25" i="10" l="1"/>
  <c r="J25" i="10"/>
  <c r="H25" i="10"/>
  <c r="H13" i="10"/>
  <c r="H14" i="10" s="1"/>
  <c r="H16" i="10" s="1"/>
  <c r="F13" i="10"/>
  <c r="F14" i="10" s="1"/>
  <c r="F16" i="10" s="1"/>
  <c r="J13" i="10"/>
  <c r="J14" i="10" s="1"/>
  <c r="J16" i="10" s="1"/>
  <c r="J19" i="10" l="1"/>
  <c r="J18" i="10"/>
  <c r="F19" i="10"/>
  <c r="F18" i="10"/>
  <c r="H19" i="10"/>
  <c r="H18" i="10"/>
  <c r="J20" i="10" l="1"/>
  <c r="J21" i="10" s="1"/>
  <c r="J23" i="10" s="1"/>
  <c r="J35" i="10" s="1"/>
  <c r="H20" i="10"/>
  <c r="H21" i="10" s="1"/>
  <c r="H23" i="10" s="1"/>
  <c r="H35" i="10" s="1"/>
  <c r="F20" i="10"/>
  <c r="F21" i="10" s="1"/>
  <c r="F23" i="10" s="1"/>
  <c r="F35" i="10" s="1"/>
  <c r="J10" i="7"/>
  <c r="H10" i="7"/>
  <c r="F10" i="7"/>
  <c r="J12" i="6"/>
  <c r="J13" i="6" s="1"/>
  <c r="H12" i="6"/>
  <c r="H13" i="6" s="1"/>
  <c r="F12" i="6"/>
  <c r="F13" i="6" s="1"/>
  <c r="F26" i="10" l="1"/>
  <c r="H26" i="10"/>
  <c r="J26" i="10"/>
  <c r="J11" i="7"/>
  <c r="J12" i="7" s="1"/>
  <c r="J14" i="7" s="1"/>
  <c r="J24" i="6"/>
  <c r="F24" i="6"/>
  <c r="F25" i="6" s="1"/>
  <c r="H24" i="6"/>
  <c r="H11" i="7"/>
  <c r="H12" i="7" s="1"/>
  <c r="F11" i="7"/>
  <c r="F12" i="7" s="1"/>
  <c r="F14" i="7" s="1"/>
  <c r="F14" i="6"/>
  <c r="H14" i="6"/>
  <c r="J14" i="6"/>
  <c r="F16" i="7" l="1"/>
  <c r="H25" i="6"/>
  <c r="J25" i="6"/>
  <c r="H28" i="10"/>
  <c r="H29" i="10" s="1"/>
  <c r="H31" i="10" s="1"/>
  <c r="J28" i="10"/>
  <c r="J29" i="10" s="1"/>
  <c r="J31" i="10" s="1"/>
  <c r="F28" i="10"/>
  <c r="F29" i="10" s="1"/>
  <c r="F31" i="10" s="1"/>
  <c r="J17" i="7"/>
  <c r="J16" i="7"/>
  <c r="H14" i="7"/>
  <c r="H16" i="6"/>
  <c r="F16" i="6"/>
  <c r="J16" i="6"/>
  <c r="F19" i="6" l="1"/>
  <c r="F18" i="6"/>
  <c r="H32" i="10"/>
  <c r="H34" i="10"/>
  <c r="F32" i="10"/>
  <c r="F34" i="10"/>
  <c r="J32" i="10"/>
  <c r="J34" i="10"/>
  <c r="J19" i="6"/>
  <c r="H19" i="6"/>
  <c r="J18" i="7"/>
  <c r="J19" i="7" s="1"/>
  <c r="J21" i="7" s="1"/>
  <c r="J22" i="7" s="1"/>
  <c r="F17" i="7"/>
  <c r="F18" i="7" s="1"/>
  <c r="F19" i="7" s="1"/>
  <c r="H17" i="7"/>
  <c r="H16" i="7"/>
  <c r="H18" i="7" s="1"/>
  <c r="J18" i="6"/>
  <c r="H18" i="6"/>
  <c r="F21" i="7" l="1"/>
  <c r="F22" i="7" s="1"/>
  <c r="F20" i="6"/>
  <c r="F21" i="6" s="1"/>
  <c r="F23" i="6" s="1"/>
  <c r="F35" i="6" s="1"/>
  <c r="H20" i="6"/>
  <c r="H21" i="6" s="1"/>
  <c r="H23" i="6" s="1"/>
  <c r="J20" i="6"/>
  <c r="J21" i="6" s="1"/>
  <c r="J23" i="6" s="1"/>
  <c r="H19" i="7"/>
  <c r="H21" i="7" s="1"/>
  <c r="H22" i="7" s="1"/>
  <c r="J26" i="6" l="1"/>
  <c r="J28" i="6" s="1"/>
  <c r="J29" i="6" s="1"/>
  <c r="J31" i="6" s="1"/>
  <c r="J35" i="6"/>
  <c r="H26" i="6"/>
  <c r="H28" i="6" s="1"/>
  <c r="H29" i="6" s="1"/>
  <c r="H31" i="6" s="1"/>
  <c r="H35" i="6"/>
  <c r="F26" i="6"/>
  <c r="F28" i="6" s="1"/>
  <c r="F29" i="6" s="1"/>
  <c r="H34" i="6" l="1"/>
  <c r="H32" i="6"/>
  <c r="J32" i="6"/>
  <c r="J34" i="6"/>
  <c r="F31" i="6"/>
  <c r="F34" i="6" s="1"/>
  <c r="F32" i="6" l="1"/>
</calcChain>
</file>

<file path=xl/sharedStrings.xml><?xml version="1.0" encoding="utf-8"?>
<sst xmlns="http://schemas.openxmlformats.org/spreadsheetml/2006/main" count="292" uniqueCount="119">
  <si>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</si>
  <si>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</si>
  <si>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</si>
  <si>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</si>
  <si>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</si>
  <si>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</si>
  <si>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</si>
  <si>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</si>
  <si>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</si>
  <si>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</si>
  <si>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</si>
  <si>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</si>
  <si>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</si>
  <si>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</si>
  <si>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</si>
  <si>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</si>
  <si>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</si>
  <si>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</si>
  <si>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</si>
  <si>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</si>
  <si>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</si>
  <si>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</si>
  <si>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</si>
  <si>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</si>
  <si>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</si>
  <si>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</si>
  <si>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</si>
  <si>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</si>
  <si>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</si>
  <si>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</si>
  <si>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</si>
  <si>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</si>
  <si>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</si>
  <si>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</si>
  <si>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</si>
  <si>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</si>
  <si>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</si>
  <si>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</si>
  <si>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</si>
  <si>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</si>
  <si>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</si>
  <si>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</si>
  <si>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</si>
  <si>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</si>
  <si>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</si>
  <si>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</si>
  <si>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</si>
  <si>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</si>
  <si>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</si>
  <si>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</si>
  <si>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</si>
  <si>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</si>
  <si>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</si>
  <si>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</si>
  <si>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</si>
  <si>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</si>
  <si>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</si>
  <si>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</si>
  <si>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</si>
  <si>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</si>
  <si>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</si>
  <si>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</si>
  <si>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</si>
  <si>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</si>
  <si>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</si>
  <si>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</si>
  <si>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</si>
  <si>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</si>
  <si>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</si>
  <si>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</si>
  <si>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</si>
  <si>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</si>
  <si>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</si>
  <si>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</si>
  <si>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</si>
  <si>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</si>
  <si>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</si>
  <si>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</si>
  <si>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</si>
  <si>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</si>
  <si>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</si>
  <si>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</si>
  <si>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</si>
  <si>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</si>
  <si>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</si>
  <si>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</si>
  <si>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</si>
  <si>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</si>
  <si>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</si>
  <si>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</si>
  <si>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</si>
  <si>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</si>
  <si>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</si>
  <si>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</si>
  <si>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</si>
  <si>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Variables can be changed</t>
  </si>
  <si>
    <t>xix</t>
  </si>
  <si>
    <t>xviii</t>
  </si>
  <si>
    <t>Is the Performance Fee charged?</t>
  </si>
  <si>
    <t>Profit Share To be taken by PMS</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</si>
  <si>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</si>
  <si>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</si>
  <si>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</si>
  <si>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</si>
  <si>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</si>
  <si>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</si>
  <si>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</si>
  <si>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</si>
  <si>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</si>
  <si>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</si>
  <si>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</si>
  <si>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</si>
  <si>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</si>
  <si>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</si>
  <si>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</si>
  <si>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</si>
  <si>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This is only a generic format for illustration, each portfolio manager can add numbers and method's of calculation as per the terms and conditions of the PMS agreement and as permitted under SEBI regulations.</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</si>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</sst>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0_ ;[Red]\-#,##0.00\ "/>
    <numFmt numFmtId="165" formatCode="#,##0_ ;[Red]\-#,##0\ "/>
    <numFmt numFmtId="166" formatCode="#,##0.0_ ;[Red]\-#,##0.0\ "/>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sz val="11"/>
      <name val="Calibri"/>
      <family val="2"/>
      <scheme val="minor"/>
    </font>
  </fonts>
  <fills count="4">
    <fill>
      <patternFill patternType="none"/>
    </fill>
    <fill>
      <patternFill patternType="gray125"/>
    </fill>
    <fill>
      <patternFill patternType="solid">
        <fgColor rgb="FFD8D8D8"/>
        <bgColor rgb="FFD8D8D8"/>
      </patternFill>
    </fill>
    <fill>
      <patternFill patternType="solid">
        <fgColor theme="0"/>
        <bgColor rgb="FFD8D8D8"/>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40">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5" fontId="3" fillId="0" borderId="0" xfId="0" applyNumberFormat="1" applyFont="1" applyAlignment="1">
      <alignment vertical="center"/>
    </xf>
    <xf numFmtId="0" fontId="3" fillId="0" borderId="1" xfId="0" applyFont="1" applyBorder="1" applyAlignment="1">
      <alignment horizontal="left" vertical="center" wrapText="1"/>
    </xf>
    <xf numFmtId="0" fontId="3" fillId="0" borderId="1" xfId="0" quotePrefix="1"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4"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10" fontId="3" fillId="3" borderId="1" xfId="0" applyNumberFormat="1" applyFont="1" applyFill="1" applyBorder="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3" xfId="0" applyBorder="1" applyAlignment="1">
      <alignment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wrapText="1"/>
    </xf>
    <xf numFmtId="10" fontId="0" fillId="0" borderId="0" xfId="0" applyNumberFormat="1" applyAlignment="1">
      <alignment vertical="center"/>
    </xf>
    <xf numFmtId="165" fontId="0" fillId="0" borderId="0" xfId="0" applyNumberFormat="1" applyAlignment="1">
      <alignment horizontal="right" vertical="center"/>
    </xf>
    <xf numFmtId="165" fontId="0" fillId="0" borderId="16"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5" fillId="0" borderId="19" xfId="0" applyFont="1" applyBorder="1" applyAlignment="1">
      <alignment horizontal="center" vertical="center"/>
    </xf>
    <xf numFmtId="0" fontId="3" fillId="0" borderId="22" xfId="0" applyFont="1" applyBorder="1" applyAlignment="1">
      <alignment vertical="center"/>
    </xf>
    <xf numFmtId="0" fontId="3" fillId="0" borderId="10" xfId="0" applyFont="1" applyBorder="1" applyAlignment="1">
      <alignment vertical="center"/>
    </xf>
    <xf numFmtId="0" fontId="5" fillId="2" borderId="10" xfId="0" applyFont="1" applyFill="1" applyBorder="1" applyAlignment="1">
      <alignment vertical="center" wrapText="1"/>
    </xf>
    <xf numFmtId="0" fontId="3" fillId="0" borderId="14" xfId="0" applyFont="1" applyBorder="1" applyAlignment="1">
      <alignment vertical="center"/>
    </xf>
    <xf numFmtId="0" fontId="0" fillId="0" borderId="15" xfId="0" applyBorder="1"/>
    <xf numFmtId="0" fontId="3" fillId="0" borderId="17" xfId="0" applyFont="1" applyBorder="1" applyAlignment="1">
      <alignment vertical="center"/>
    </xf>
    <xf numFmtId="0" fontId="0" fillId="0" borderId="16" xfId="0" applyBorder="1"/>
    <xf numFmtId="0" fontId="3" fillId="0" borderId="16" xfId="0" applyFont="1" applyBorder="1" applyAlignment="1">
      <alignment vertical="center"/>
    </xf>
    <xf numFmtId="0" fontId="2" fillId="0" borderId="31"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32"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0" fontId="0" fillId="0" borderId="32" xfId="0" applyBorder="1" applyAlignment="1">
      <alignment vertical="center"/>
    </xf>
    <xf numFmtId="9" fontId="2" fillId="0" borderId="33" xfId="0" applyNumberFormat="1" applyFont="1" applyBorder="1" applyAlignment="1">
      <alignment horizontal="left" vertical="center"/>
    </xf>
    <xf numFmtId="0" fontId="5" fillId="0" borderId="37" xfId="0" applyFont="1" applyBorder="1" applyAlignment="1">
      <alignment horizontal="right" vertical="center"/>
    </xf>
    <xf numFmtId="9" fontId="5" fillId="2" borderId="38" xfId="0" applyNumberFormat="1" applyFont="1" applyFill="1" applyBorder="1" applyAlignment="1">
      <alignment horizontal="left" vertical="center"/>
    </xf>
    <xf numFmtId="0" fontId="5" fillId="0" borderId="39" xfId="0" applyFont="1" applyBorder="1" applyAlignment="1">
      <alignment horizontal="right" vertical="center"/>
    </xf>
    <xf numFmtId="9" fontId="5" fillId="2" borderId="39" xfId="0" applyNumberFormat="1" applyFont="1" applyFill="1" applyBorder="1" applyAlignment="1">
      <alignment horizontal="left" vertical="center"/>
    </xf>
    <xf numFmtId="9" fontId="5" fillId="2" borderId="40" xfId="0" applyNumberFormat="1" applyFont="1" applyFill="1" applyBorder="1" applyAlignment="1">
      <alignment horizontal="left" vertical="center"/>
    </xf>
    <xf numFmtId="0" fontId="5" fillId="0" borderId="0" xfId="0" applyFont="1" applyAlignment="1">
      <alignment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1" xfId="0" applyFont="1" applyBorder="1" applyAlignment="1">
      <alignment horizontal="center" vertical="center"/>
    </xf>
    <xf numFmtId="165" fontId="0" fillId="0" borderId="1" xfId="0" applyNumberFormat="1" applyBorder="1" applyAlignment="1">
      <alignment horizontal="right" vertical="center"/>
    </xf>
    <xf numFmtId="165" fontId="0" fillId="0" borderId="13" xfId="0" applyNumberFormat="1" applyBorder="1" applyAlignment="1">
      <alignment horizontal="right" vertical="center"/>
    </xf>
    <xf numFmtId="43" fontId="0" fillId="0" borderId="1" xfId="1" applyFont="1" applyBorder="1" applyAlignment="1">
      <alignment horizontal="right" vertical="center"/>
    </xf>
    <xf numFmtId="43" fontId="0" fillId="0" borderId="13" xfId="1" applyFon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164" fontId="0" fillId="0" borderId="1" xfId="0" applyNumberFormat="1" applyBorder="1" applyAlignment="1">
      <alignment horizontal="right" vertical="center"/>
    </xf>
    <xf numFmtId="164" fontId="0" fillId="0" borderId="13" xfId="0" applyNumberFormat="1" applyBorder="1" applyAlignment="1">
      <alignment horizontal="right" vertical="center"/>
    </xf>
    <xf numFmtId="10" fontId="0" fillId="0" borderId="1" xfId="2" applyNumberFormat="1" applyFont="1" applyBorder="1" applyAlignment="1">
      <alignment horizontal="right" vertical="center"/>
    </xf>
    <xf numFmtId="10" fontId="0" fillId="0" borderId="13" xfId="2" applyNumberFormat="1" applyFont="1" applyBorder="1" applyAlignment="1">
      <alignment horizontal="right" vertic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2" fillId="0" borderId="31" xfId="0" applyFont="1" applyBorder="1" applyAlignment="1">
      <alignment horizontal="left" vertical="center" wrapText="1"/>
    </xf>
    <xf numFmtId="0" fontId="2" fillId="0" borderId="5" xfId="0" applyFont="1" applyBorder="1" applyAlignment="1">
      <alignment horizontal="left" vertical="center" wrapText="1"/>
    </xf>
    <xf numFmtId="0" fontId="2" fillId="0" borderId="32" xfId="0" applyFont="1"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xf numFmtId="0" fontId="4" fillId="0" borderId="2" xfId="0" applyFont="1" applyBorder="1"/>
    <xf numFmtId="0" fontId="5" fillId="0" borderId="28" xfId="0" applyFont="1" applyBorder="1" applyAlignment="1">
      <alignment horizontal="center" vertical="center"/>
    </xf>
    <xf numFmtId="0" fontId="4" fillId="0" borderId="30" xfId="0" applyFont="1" applyBorder="1"/>
    <xf numFmtId="165" fontId="3" fillId="0" borderId="6" xfId="0" applyNumberFormat="1" applyFont="1" applyBorder="1" applyAlignment="1">
      <alignment horizontal="right" vertical="center"/>
    </xf>
    <xf numFmtId="0" fontId="4" fillId="0" borderId="6" xfId="0" applyFont="1" applyBorder="1"/>
    <xf numFmtId="165" fontId="3" fillId="0" borderId="1" xfId="0" applyNumberFormat="1" applyFont="1" applyBorder="1" applyAlignment="1">
      <alignment horizontal="right" vertical="center"/>
    </xf>
    <xf numFmtId="0" fontId="4" fillId="0" borderId="33" xfId="0" applyFont="1" applyBorder="1"/>
    <xf numFmtId="0" fontId="4" fillId="0" borderId="13" xfId="0" applyFont="1" applyBorder="1"/>
    <xf numFmtId="165" fontId="4" fillId="0" borderId="1" xfId="0" applyNumberFormat="1" applyFont="1" applyBorder="1"/>
    <xf numFmtId="165" fontId="4" fillId="0" borderId="13" xfId="0" applyNumberFormat="1" applyFont="1" applyBorder="1"/>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166" fontId="3" fillId="0" borderId="1" xfId="0" applyNumberFormat="1" applyFont="1" applyBorder="1" applyAlignment="1">
      <alignment horizontal="right" vertical="center"/>
    </xf>
    <xf numFmtId="0" fontId="3" fillId="0" borderId="23" xfId="0" applyFont="1" applyBorder="1" applyAlignment="1">
      <alignment vertical="center" wrapText="1"/>
    </xf>
    <xf numFmtId="0" fontId="4" fillId="0" borderId="23" xfId="0" applyFont="1" applyBorder="1"/>
    <xf numFmtId="0" fontId="4" fillId="0" borderId="24" xfId="0" applyFont="1" applyBorder="1"/>
    <xf numFmtId="0" fontId="6" fillId="0" borderId="8" xfId="0" applyFont="1" applyBorder="1" applyAlignment="1">
      <alignment vertical="center" wrapText="1"/>
    </xf>
    <xf numFmtId="0" fontId="7" fillId="0" borderId="20" xfId="0" applyFont="1" applyBorder="1"/>
    <xf numFmtId="0" fontId="7" fillId="0" borderId="21" xfId="0" applyFont="1" applyBorder="1"/>
    <xf numFmtId="10" fontId="3" fillId="0" borderId="1" xfId="0" applyNumberFormat="1" applyFont="1" applyBorder="1" applyAlignment="1">
      <alignment horizontal="right" vertical="center"/>
    </xf>
    <xf numFmtId="165" fontId="3" fillId="0" borderId="2" xfId="0" applyNumberFormat="1" applyFont="1" applyBorder="1" applyAlignment="1">
      <alignment horizontal="right" vertical="center"/>
    </xf>
    <xf numFmtId="165" fontId="3" fillId="0" borderId="3" xfId="0" applyNumberFormat="1" applyFont="1" applyBorder="1" applyAlignment="1">
      <alignment horizontal="right" vertical="center"/>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showGridLines="0" tabSelected="1" zoomScaleNormal="100" workbookViewId="0">
      <selection activeCell="F12" sqref="F12:G12"/>
    </sheetView>
  </sheetViews>
  <sheetFormatPr defaultColWidth="8.85546875" defaultRowHeight="15" x14ac:dyDescent="0.25"/>
  <cols>
    <col min="1" max="1" width="8.85546875" style="2"/>
    <col min="2" max="2" width="5.42578125" style="47" customWidth="1"/>
    <col min="3" max="3" width="48" style="1" customWidth="1"/>
    <col min="4" max="4" width="4.5703125" style="3" customWidth="1"/>
    <col min="5" max="5" width="18.42578125" style="1" customWidth="1"/>
    <col min="6" max="6" width="8.42578125" style="2" customWidth="1"/>
    <col min="7" max="7" width="5.85546875" style="2" customWidth="1"/>
    <col min="8" max="8" width="8.42578125" style="2" customWidth="1"/>
    <col min="9" max="9" width="5.28515625" style="2" customWidth="1"/>
    <col min="10" max="10" width="10.85546875" style="2" customWidth="1"/>
    <col min="11" max="11" width="3.5703125" style="2" customWidth="1"/>
    <col min="12" max="16384" width="8.85546875" style="2"/>
  </cols>
  <sheetData>
    <row r="1" spans="3:11" ht="15.75" thickBot="1" x14ac:dyDescent="0.3"/>
    <row r="2" spans="3:11" x14ac:dyDescent="0.25">
      <c r="C2" s="31" t="s">
        <v>0</v>
      </c>
      <c r="D2" s="32"/>
      <c r="E2" s="33"/>
      <c r="F2" s="34"/>
      <c r="G2" s="34"/>
      <c r="H2" s="34"/>
      <c r="I2" s="34"/>
      <c r="J2" s="34"/>
      <c r="K2" s="35"/>
    </row>
    <row r="3" spans="3:11" x14ac:dyDescent="0.25">
      <c r="C3" s="36" t="s">
        <v>2</v>
      </c>
      <c r="D3" s="6" t="s">
        <v>15</v>
      </c>
      <c r="E3" s="7">
        <v>5000000</v>
      </c>
      <c r="F3" s="12"/>
      <c r="G3" s="12"/>
      <c r="H3" s="12"/>
      <c r="I3" s="12"/>
      <c r="J3" s="12"/>
      <c r="K3" s="37"/>
    </row>
    <row r="4" spans="3:11" x14ac:dyDescent="0.25">
      <c r="C4" s="36" t="s">
        <v>1</v>
      </c>
      <c r="D4" s="6" t="s">
        <v>16</v>
      </c>
      <c r="E4" s="8">
        <v>1.4999999999999999E-2</v>
      </c>
      <c r="F4" s="12"/>
      <c r="G4" s="12"/>
      <c r="H4" s="12"/>
      <c r="I4" s="12"/>
      <c r="J4" s="12"/>
      <c r="K4" s="37"/>
    </row>
    <row r="5" spans="3:11" x14ac:dyDescent="0.25">
      <c r="C5" s="36" t="s">
        <v>38</v>
      </c>
      <c r="D5" s="6" t="s">
        <v>17</v>
      </c>
      <c r="E5" s="8">
        <v>5.0000000000000001E-3</v>
      </c>
      <c r="F5" s="12"/>
      <c r="G5" s="12"/>
      <c r="H5" s="12"/>
      <c r="I5" s="12"/>
      <c r="J5" s="12"/>
      <c r="K5" s="37"/>
    </row>
    <row r="6" spans="3:11" x14ac:dyDescent="0.25">
      <c r="C6" s="36" t="s">
        <v>56</v>
      </c>
      <c r="D6" s="6" t="s">
        <v>41</v>
      </c>
      <c r="E6" s="8">
        <v>2E-3</v>
      </c>
      <c r="F6" s="12"/>
      <c r="G6" s="12"/>
      <c r="H6" s="12"/>
      <c r="I6" s="12"/>
      <c r="J6" s="12"/>
      <c r="K6" s="37"/>
    </row>
    <row r="7" spans="3:11" ht="15.75" thickBot="1" x14ac:dyDescent="0.3">
      <c r="C7" s="36"/>
      <c r="D7" s="6"/>
      <c r="E7" s="5"/>
      <c r="F7" s="65"/>
      <c r="G7" s="30"/>
      <c r="H7" s="30"/>
      <c r="I7" s="30"/>
      <c r="J7" s="30"/>
      <c r="K7" s="68"/>
    </row>
    <row r="8" spans="3:11" ht="15.75" thickBot="1" x14ac:dyDescent="0.3">
      <c r="C8" s="76" t="s">
        <v>36</v>
      </c>
      <c r="D8" s="77"/>
      <c r="E8" s="78"/>
      <c r="F8" s="79" t="s">
        <v>12</v>
      </c>
      <c r="G8" s="80"/>
      <c r="H8" s="79" t="s">
        <v>13</v>
      </c>
      <c r="I8" s="80"/>
      <c r="J8" s="79" t="s">
        <v>14</v>
      </c>
      <c r="K8" s="80"/>
    </row>
    <row r="9" spans="3:11" x14ac:dyDescent="0.25">
      <c r="C9" s="76"/>
      <c r="D9" s="77"/>
      <c r="E9" s="77"/>
      <c r="F9" s="66" t="s">
        <v>3</v>
      </c>
      <c r="G9" s="67">
        <v>0.2</v>
      </c>
      <c r="H9" s="66" t="s">
        <v>4</v>
      </c>
      <c r="I9" s="67">
        <v>-0.2</v>
      </c>
      <c r="J9" s="66" t="s">
        <v>5</v>
      </c>
      <c r="K9" s="69">
        <v>0</v>
      </c>
    </row>
    <row r="10" spans="3:11" x14ac:dyDescent="0.25">
      <c r="C10" s="36" t="s">
        <v>11</v>
      </c>
      <c r="D10" s="6" t="s">
        <v>19</v>
      </c>
      <c r="E10" s="11" t="s">
        <v>29</v>
      </c>
      <c r="F10" s="81">
        <f>+$E$3</f>
        <v>5000000</v>
      </c>
      <c r="G10" s="81"/>
      <c r="H10" s="81">
        <f>+$E$3</f>
        <v>5000000</v>
      </c>
      <c r="I10" s="81"/>
      <c r="J10" s="81">
        <f>+$E$3</f>
        <v>5000000</v>
      </c>
      <c r="K10" s="82"/>
    </row>
    <row r="11" spans="3:11" x14ac:dyDescent="0.25">
      <c r="C11" s="36" t="s">
        <v>33</v>
      </c>
      <c r="D11" s="6" t="s">
        <v>20</v>
      </c>
      <c r="E11" s="11" t="s">
        <v>30</v>
      </c>
      <c r="F11" s="81">
        <f>F10*G9</f>
        <v>1000000</v>
      </c>
      <c r="G11" s="81"/>
      <c r="H11" s="81">
        <f>H10*I9</f>
        <v>-1000000</v>
      </c>
      <c r="I11" s="81"/>
      <c r="J11" s="83">
        <f>J10*K9</f>
        <v>0</v>
      </c>
      <c r="K11" s="84"/>
    </row>
    <row r="12" spans="3:11" x14ac:dyDescent="0.25">
      <c r="C12" s="36" t="s">
        <v>7</v>
      </c>
      <c r="D12" s="6" t="s">
        <v>21</v>
      </c>
      <c r="E12" s="11" t="s">
        <v>31</v>
      </c>
      <c r="F12" s="81">
        <f>F10+F11</f>
        <v>6000000</v>
      </c>
      <c r="G12" s="81"/>
      <c r="H12" s="81">
        <f>H10+H11</f>
        <v>4000000</v>
      </c>
      <c r="I12" s="81"/>
      <c r="J12" s="81">
        <f>J10+J11</f>
        <v>5000000</v>
      </c>
      <c r="K12" s="82"/>
    </row>
    <row r="13" spans="3:11" x14ac:dyDescent="0.25">
      <c r="C13" s="85"/>
      <c r="D13" s="86"/>
      <c r="E13" s="86"/>
      <c r="F13" s="86"/>
      <c r="G13" s="86"/>
      <c r="H13" s="86"/>
      <c r="I13" s="86"/>
      <c r="J13" s="86"/>
      <c r="K13" s="87"/>
    </row>
    <row r="14" spans="3:11" x14ac:dyDescent="0.25">
      <c r="C14" s="36" t="s">
        <v>63</v>
      </c>
      <c r="D14" s="6" t="s">
        <v>22</v>
      </c>
      <c r="E14" s="11" t="s">
        <v>32</v>
      </c>
      <c r="F14" s="88">
        <f>(F10+F12)/2</f>
        <v>5500000</v>
      </c>
      <c r="G14" s="88"/>
      <c r="H14" s="88">
        <f>(H10+H12)/2</f>
        <v>4500000</v>
      </c>
      <c r="I14" s="88"/>
      <c r="J14" s="88">
        <f>(J10+J12)/2</f>
        <v>5000000</v>
      </c>
      <c r="K14" s="89"/>
    </row>
    <row r="15" spans="3:11" x14ac:dyDescent="0.25">
      <c r="C15" s="85"/>
      <c r="D15" s="86"/>
      <c r="E15" s="86"/>
      <c r="F15" s="86"/>
      <c r="G15" s="86"/>
      <c r="H15" s="86"/>
      <c r="I15" s="86"/>
      <c r="J15" s="86"/>
      <c r="K15" s="87"/>
    </row>
    <row r="16" spans="3:11" x14ac:dyDescent="0.25">
      <c r="C16" s="36" t="s">
        <v>34</v>
      </c>
      <c r="D16" s="6" t="s">
        <v>23</v>
      </c>
      <c r="E16" s="11" t="s">
        <v>55</v>
      </c>
      <c r="F16" s="81">
        <f>+F14*-$E$5</f>
        <v>-27500</v>
      </c>
      <c r="G16" s="81"/>
      <c r="H16" s="81">
        <f>+H14*-$E$5</f>
        <v>-22500</v>
      </c>
      <c r="I16" s="81"/>
      <c r="J16" s="81">
        <f>+J14*-$E$5</f>
        <v>-25000</v>
      </c>
      <c r="K16" s="82"/>
    </row>
    <row r="17" spans="2:11" x14ac:dyDescent="0.25">
      <c r="C17" s="36" t="s">
        <v>56</v>
      </c>
      <c r="D17" s="6" t="s">
        <v>24</v>
      </c>
      <c r="E17" s="11" t="s">
        <v>57</v>
      </c>
      <c r="F17" s="81">
        <f>+F14*-$E$6</f>
        <v>-11000</v>
      </c>
      <c r="G17" s="81"/>
      <c r="H17" s="81">
        <f>+H14*-$E$6</f>
        <v>-9000</v>
      </c>
      <c r="I17" s="81"/>
      <c r="J17" s="81">
        <f>+J14*-$E$6</f>
        <v>-10000</v>
      </c>
      <c r="K17" s="82"/>
    </row>
    <row r="18" spans="2:11" x14ac:dyDescent="0.25">
      <c r="C18" s="36" t="s">
        <v>35</v>
      </c>
      <c r="D18" s="6" t="s">
        <v>25</v>
      </c>
      <c r="E18" s="5" t="s">
        <v>58</v>
      </c>
      <c r="F18" s="81">
        <f>+(F14+F16+F17)*-$E$4</f>
        <v>-81922.5</v>
      </c>
      <c r="G18" s="81"/>
      <c r="H18" s="81">
        <f>+(H14+H16+H17)*-$E$4</f>
        <v>-67027.5</v>
      </c>
      <c r="I18" s="81"/>
      <c r="J18" s="81">
        <f>+(J14+J16+J17)*-$E$4</f>
        <v>-74475</v>
      </c>
      <c r="K18" s="82"/>
    </row>
    <row r="19" spans="2:11" x14ac:dyDescent="0.25">
      <c r="C19" s="36" t="s">
        <v>8</v>
      </c>
      <c r="D19" s="6" t="s">
        <v>26</v>
      </c>
      <c r="E19" s="5" t="s">
        <v>59</v>
      </c>
      <c r="F19" s="81">
        <f>+F16+F18+F17</f>
        <v>-120422.5</v>
      </c>
      <c r="G19" s="81"/>
      <c r="H19" s="81">
        <f>+H16+H18+H17</f>
        <v>-98527.5</v>
      </c>
      <c r="I19" s="81"/>
      <c r="J19" s="81">
        <f>+J16+J18+J17</f>
        <v>-109475</v>
      </c>
      <c r="K19" s="82"/>
    </row>
    <row r="20" spans="2:11" x14ac:dyDescent="0.25">
      <c r="C20" s="85"/>
      <c r="D20" s="86"/>
      <c r="E20" s="86"/>
      <c r="F20" s="86"/>
      <c r="G20" s="86"/>
      <c r="H20" s="86"/>
      <c r="I20" s="86"/>
      <c r="J20" s="86"/>
      <c r="K20" s="87"/>
    </row>
    <row r="21" spans="2:11" x14ac:dyDescent="0.25">
      <c r="C21" s="36" t="s">
        <v>9</v>
      </c>
      <c r="D21" s="6" t="s">
        <v>27</v>
      </c>
      <c r="E21" s="5" t="s">
        <v>67</v>
      </c>
      <c r="F21" s="81">
        <f>F12+F19</f>
        <v>5879577.5</v>
      </c>
      <c r="G21" s="81"/>
      <c r="H21" s="81">
        <f>H12+H19</f>
        <v>3901472.5</v>
      </c>
      <c r="I21" s="81"/>
      <c r="J21" s="81">
        <f>J12+J19</f>
        <v>4890525</v>
      </c>
      <c r="K21" s="82"/>
    </row>
    <row r="22" spans="2:11" x14ac:dyDescent="0.25">
      <c r="C22" s="36" t="s">
        <v>10</v>
      </c>
      <c r="D22" s="6" t="s">
        <v>28</v>
      </c>
      <c r="E22" s="5" t="s">
        <v>68</v>
      </c>
      <c r="F22" s="90">
        <f>+F21/F10-1</f>
        <v>0.17591549999999989</v>
      </c>
      <c r="G22" s="90"/>
      <c r="H22" s="90">
        <f>+H21/H10-1</f>
        <v>-0.2197055</v>
      </c>
      <c r="I22" s="90"/>
      <c r="J22" s="90">
        <f>+J21/J10-1</f>
        <v>-2.1894999999999998E-2</v>
      </c>
      <c r="K22" s="91"/>
    </row>
    <row r="23" spans="2:11" x14ac:dyDescent="0.25">
      <c r="C23" s="36"/>
      <c r="D23" s="6"/>
      <c r="E23" s="5"/>
      <c r="F23" s="12"/>
      <c r="G23" s="12"/>
      <c r="H23" s="12"/>
      <c r="I23" s="12"/>
      <c r="J23" s="12"/>
      <c r="K23" s="37"/>
    </row>
    <row r="24" spans="2:11" ht="15.75" thickBot="1" x14ac:dyDescent="0.3">
      <c r="B24" s="50"/>
      <c r="C24" s="95" t="s">
        <v>88</v>
      </c>
      <c r="D24" s="96"/>
      <c r="E24" s="96"/>
      <c r="F24" s="96"/>
      <c r="G24" s="96"/>
      <c r="H24" s="96"/>
      <c r="I24" s="96"/>
      <c r="J24" s="96"/>
      <c r="K24" s="97"/>
    </row>
    <row r="25" spans="2:11" s="4" customFormat="1" ht="41.25" customHeight="1" thickBot="1" x14ac:dyDescent="0.3">
      <c r="B25" s="51">
        <v>1</v>
      </c>
      <c r="C25" s="92" t="s">
        <v>118</v>
      </c>
      <c r="D25" s="93"/>
      <c r="E25" s="93"/>
      <c r="F25" s="93"/>
      <c r="G25" s="93"/>
      <c r="H25" s="93"/>
      <c r="I25" s="93"/>
      <c r="J25" s="93"/>
      <c r="K25" s="94"/>
    </row>
    <row r="26" spans="2:11" s="4" customFormat="1" ht="37.5" customHeight="1" thickBot="1" x14ac:dyDescent="0.3">
      <c r="B26" s="51">
        <f t="shared" ref="B26:B30" si="0">+B25+1</f>
        <v>2</v>
      </c>
      <c r="C26" s="92" t="s">
        <v>61</v>
      </c>
      <c r="D26" s="93"/>
      <c r="E26" s="93"/>
      <c r="F26" s="93"/>
      <c r="G26" s="93"/>
      <c r="H26" s="93"/>
      <c r="I26" s="93"/>
      <c r="J26" s="93"/>
      <c r="K26" s="94"/>
    </row>
    <row r="27" spans="2:11" s="4" customFormat="1" ht="33.75" customHeight="1" thickBot="1" x14ac:dyDescent="0.3">
      <c r="B27" s="51">
        <f t="shared" si="0"/>
        <v>3</v>
      </c>
      <c r="C27" s="92" t="s">
        <v>60</v>
      </c>
      <c r="D27" s="93"/>
      <c r="E27" s="93"/>
      <c r="F27" s="93"/>
      <c r="G27" s="93"/>
      <c r="H27" s="93"/>
      <c r="I27" s="93"/>
      <c r="J27" s="93"/>
      <c r="K27" s="94"/>
    </row>
    <row r="28" spans="2:11" s="4" customFormat="1" ht="29.25" customHeight="1" thickBot="1" x14ac:dyDescent="0.3">
      <c r="B28" s="51">
        <f t="shared" si="0"/>
        <v>4</v>
      </c>
      <c r="C28" s="98" t="s">
        <v>37</v>
      </c>
      <c r="D28" s="99"/>
      <c r="E28" s="99"/>
      <c r="F28" s="99"/>
      <c r="G28" s="99"/>
      <c r="H28" s="99"/>
      <c r="I28" s="99"/>
      <c r="J28" s="99"/>
      <c r="K28" s="100"/>
    </row>
    <row r="29" spans="2:11" s="4" customFormat="1" ht="33.75" customHeight="1" thickBot="1" x14ac:dyDescent="0.3">
      <c r="B29" s="51">
        <f t="shared" si="0"/>
        <v>5</v>
      </c>
      <c r="C29" s="92" t="s">
        <v>62</v>
      </c>
      <c r="D29" s="93"/>
      <c r="E29" s="93"/>
      <c r="F29" s="93"/>
      <c r="G29" s="93"/>
      <c r="H29" s="93"/>
      <c r="I29" s="93"/>
      <c r="J29" s="93"/>
      <c r="K29" s="94"/>
    </row>
    <row r="30" spans="2:11" s="4" customFormat="1" ht="15.75" thickBot="1" x14ac:dyDescent="0.3">
      <c r="B30" s="51">
        <f t="shared" si="0"/>
        <v>6</v>
      </c>
      <c r="C30" s="92" t="s">
        <v>51</v>
      </c>
      <c r="D30" s="93"/>
      <c r="E30" s="93"/>
      <c r="F30" s="93"/>
      <c r="G30" s="93"/>
      <c r="H30" s="93"/>
      <c r="I30" s="93"/>
      <c r="J30" s="93"/>
      <c r="K30" s="94"/>
    </row>
    <row r="31" spans="2:11" s="4" customFormat="1" ht="34.5" customHeight="1" thickBot="1" x14ac:dyDescent="0.3">
      <c r="B31" s="51">
        <f t="shared" ref="B31" si="1">+B30+1</f>
        <v>7</v>
      </c>
      <c r="C31" s="92" t="s">
        <v>64</v>
      </c>
      <c r="D31" s="93"/>
      <c r="E31" s="93"/>
      <c r="F31" s="93"/>
      <c r="G31" s="93"/>
      <c r="H31" s="93"/>
      <c r="I31" s="93"/>
      <c r="J31" s="93"/>
      <c r="K31" s="94"/>
    </row>
    <row r="32" spans="2:11" ht="28.5" customHeight="1" thickBot="1" x14ac:dyDescent="0.3">
      <c r="B32" s="51">
        <v>8</v>
      </c>
      <c r="C32" s="92" t="s">
        <v>104</v>
      </c>
      <c r="D32" s="93"/>
      <c r="E32" s="93"/>
      <c r="F32" s="93"/>
      <c r="G32" s="93"/>
      <c r="H32" s="93"/>
      <c r="I32" s="93"/>
      <c r="J32" s="93"/>
      <c r="K32" s="94"/>
    </row>
  </sheetData>
  <sheetProtection algorithmName="SHA-512" hashValue="KP8mPHgI9KpTHO+Fq7ebu1kD6MppTAgYByFYjM8MY3cfCbbATMg3r6t6h7E8EA4AG/GA84g+Zb1bAQHL9e50gA==" saltValue="Xu9KjWsr4QrG5obJwR30Xw==" spinCount="100000" sheet="1" formatCells="0" formatColumns="0" formatRows="0" insertColumns="0" insertRows="0" insertHyperlinks="0" deleteColumns="0" deleteRows="0" sort="0" autoFilter="0" pivotTables="0"/>
  <mergeCells count="46">
    <mergeCell ref="C32:K32"/>
    <mergeCell ref="C30:K30"/>
    <mergeCell ref="C31:K31"/>
    <mergeCell ref="C24:K24"/>
    <mergeCell ref="C25:K25"/>
    <mergeCell ref="C26:K26"/>
    <mergeCell ref="C27:K27"/>
    <mergeCell ref="C28:K28"/>
    <mergeCell ref="C29:K29"/>
    <mergeCell ref="F17:G17"/>
    <mergeCell ref="H17:I17"/>
    <mergeCell ref="J17:K17"/>
    <mergeCell ref="C20:K20"/>
    <mergeCell ref="F21:G21"/>
    <mergeCell ref="H21:I21"/>
    <mergeCell ref="J21:K21"/>
    <mergeCell ref="F22:G22"/>
    <mergeCell ref="H22:I22"/>
    <mergeCell ref="J22:K22"/>
    <mergeCell ref="F18:G18"/>
    <mergeCell ref="H18:I18"/>
    <mergeCell ref="J18:K18"/>
    <mergeCell ref="F19:G19"/>
    <mergeCell ref="H19:I19"/>
    <mergeCell ref="J19:K19"/>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C8:E9"/>
    <mergeCell ref="F8:G8"/>
    <mergeCell ref="H8:I8"/>
    <mergeCell ref="J8:K8"/>
    <mergeCell ref="F10:G10"/>
    <mergeCell ref="H10:I10"/>
    <mergeCell ref="J10:K10"/>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9"/>
  <sheetViews>
    <sheetView showGridLines="0" zoomScaleNormal="100" workbookViewId="0">
      <selection activeCell="F12" sqref="F12:G12"/>
    </sheetView>
  </sheetViews>
  <sheetFormatPr defaultColWidth="8.85546875" defaultRowHeight="15" x14ac:dyDescent="0.25"/>
  <cols>
    <col min="1" max="1" width="8.85546875" style="2"/>
    <col min="2" max="2" width="5.42578125" style="47" customWidth="1"/>
    <col min="3" max="3" width="56.140625" style="1" customWidth="1"/>
    <col min="4" max="4" width="4.5703125" style="3" customWidth="1"/>
    <col min="5" max="5" width="17.85546875" style="1" customWidth="1"/>
    <col min="6" max="6" width="10.42578125" style="2" bestFit="1" customWidth="1"/>
    <col min="7" max="7" width="4.42578125" style="2" bestFit="1" customWidth="1"/>
    <col min="8" max="8" width="10.42578125" style="2" customWidth="1"/>
    <col min="9" max="9" width="5.140625" style="2" bestFit="1" customWidth="1"/>
    <col min="10" max="10" width="12.28515625" style="2" customWidth="1"/>
    <col min="11" max="11" width="3.5703125" style="2" bestFit="1" customWidth="1"/>
    <col min="12" max="12" width="9.85546875" style="2" bestFit="1" customWidth="1"/>
    <col min="13" max="13" width="3.5703125" style="2" bestFit="1" customWidth="1"/>
    <col min="14" max="16384" width="8.85546875" style="2"/>
  </cols>
  <sheetData>
    <row r="1" spans="3:13" ht="15.75" thickBot="1" x14ac:dyDescent="0.3"/>
    <row r="2" spans="3:13" x14ac:dyDescent="0.25">
      <c r="C2" s="31" t="s">
        <v>0</v>
      </c>
      <c r="D2" s="32"/>
      <c r="E2" s="33"/>
      <c r="F2" s="34"/>
      <c r="G2" s="34"/>
      <c r="H2" s="34"/>
      <c r="I2" s="34"/>
      <c r="J2" s="34"/>
      <c r="K2" s="34"/>
      <c r="L2" s="34"/>
      <c r="M2" s="35"/>
    </row>
    <row r="3" spans="3:13" x14ac:dyDescent="0.25">
      <c r="C3" s="36" t="s">
        <v>2</v>
      </c>
      <c r="D3" s="6" t="s">
        <v>15</v>
      </c>
      <c r="E3" s="7">
        <v>5000000</v>
      </c>
      <c r="F3" s="12"/>
      <c r="G3" s="12"/>
      <c r="H3" s="12"/>
      <c r="I3" s="12"/>
      <c r="J3" s="12"/>
      <c r="K3" s="12"/>
      <c r="L3" s="12"/>
      <c r="M3" s="37"/>
    </row>
    <row r="4" spans="3:13" x14ac:dyDescent="0.25">
      <c r="C4" s="36" t="s">
        <v>1</v>
      </c>
      <c r="D4" s="6" t="s">
        <v>16</v>
      </c>
      <c r="E4" s="8">
        <v>1.4999999999999999E-2</v>
      </c>
      <c r="F4" s="12"/>
      <c r="G4" s="12"/>
      <c r="H4" s="12"/>
      <c r="I4" s="12"/>
      <c r="J4" s="12"/>
      <c r="K4" s="12"/>
      <c r="L4" s="12"/>
      <c r="M4" s="37"/>
    </row>
    <row r="5" spans="3:13" x14ac:dyDescent="0.25">
      <c r="C5" s="36" t="s">
        <v>6</v>
      </c>
      <c r="D5" s="6" t="s">
        <v>17</v>
      </c>
      <c r="E5" s="8">
        <v>5.0000000000000001E-3</v>
      </c>
      <c r="F5" s="12"/>
      <c r="G5" s="12"/>
      <c r="H5" s="12"/>
      <c r="I5" s="12"/>
      <c r="J5" s="12"/>
      <c r="K5" s="12"/>
      <c r="L5" s="12"/>
      <c r="M5" s="37"/>
    </row>
    <row r="6" spans="3:13" x14ac:dyDescent="0.25">
      <c r="C6" s="36" t="s">
        <v>39</v>
      </c>
      <c r="D6" s="6" t="s">
        <v>41</v>
      </c>
      <c r="E6" s="8">
        <v>0.14000000000000001</v>
      </c>
      <c r="F6" s="12"/>
      <c r="G6" s="12"/>
      <c r="H6" s="12"/>
      <c r="I6" s="12"/>
      <c r="J6" s="12"/>
      <c r="K6" s="12"/>
      <c r="L6" s="12"/>
      <c r="M6" s="37"/>
    </row>
    <row r="7" spans="3:13" x14ac:dyDescent="0.25">
      <c r="C7" s="36" t="s">
        <v>40</v>
      </c>
      <c r="D7" s="6" t="s">
        <v>42</v>
      </c>
      <c r="E7" s="8">
        <v>0.14000000000000001</v>
      </c>
      <c r="F7" s="12"/>
      <c r="G7" s="12"/>
      <c r="H7" s="12"/>
      <c r="I7" s="12"/>
      <c r="J7" s="12"/>
      <c r="K7" s="12"/>
      <c r="L7" s="12"/>
      <c r="M7" s="37"/>
    </row>
    <row r="8" spans="3:13" x14ac:dyDescent="0.25">
      <c r="C8" s="36" t="s">
        <v>56</v>
      </c>
      <c r="D8" s="6" t="s">
        <v>65</v>
      </c>
      <c r="E8" s="8">
        <v>2E-3</v>
      </c>
      <c r="F8" s="12"/>
      <c r="G8" s="12"/>
      <c r="H8" s="12"/>
      <c r="I8" s="12"/>
      <c r="J8" s="12"/>
      <c r="K8" s="12"/>
      <c r="L8" s="12"/>
      <c r="M8" s="37"/>
    </row>
    <row r="9" spans="3:13" ht="15.75" thickBot="1" x14ac:dyDescent="0.3">
      <c r="C9" s="36"/>
      <c r="D9" s="6"/>
      <c r="E9" s="5"/>
      <c r="F9" s="65"/>
      <c r="G9" s="30"/>
      <c r="H9" s="12"/>
      <c r="I9" s="12"/>
      <c r="J9" s="12"/>
      <c r="K9" s="12"/>
      <c r="L9" s="12"/>
      <c r="M9" s="37"/>
    </row>
    <row r="10" spans="3:13" ht="15.75" thickBot="1" x14ac:dyDescent="0.3">
      <c r="C10" s="76" t="s">
        <v>79</v>
      </c>
      <c r="D10" s="77"/>
      <c r="E10" s="78"/>
      <c r="F10" s="101" t="s">
        <v>12</v>
      </c>
      <c r="G10" s="102"/>
      <c r="H10" s="101" t="s">
        <v>13</v>
      </c>
      <c r="I10" s="102"/>
      <c r="J10" s="101" t="s">
        <v>14</v>
      </c>
      <c r="K10" s="102"/>
      <c r="L10" s="12"/>
      <c r="M10" s="37"/>
    </row>
    <row r="11" spans="3:13" x14ac:dyDescent="0.25">
      <c r="C11" s="76"/>
      <c r="D11" s="77"/>
      <c r="E11" s="77"/>
      <c r="F11" s="66" t="s">
        <v>3</v>
      </c>
      <c r="G11" s="67">
        <v>0.2</v>
      </c>
      <c r="H11" s="9" t="s">
        <v>4</v>
      </c>
      <c r="I11" s="10">
        <v>-0.2</v>
      </c>
      <c r="J11" s="9" t="s">
        <v>5</v>
      </c>
      <c r="K11" s="10">
        <v>0</v>
      </c>
      <c r="L11" s="12"/>
      <c r="M11" s="37"/>
    </row>
    <row r="12" spans="3:13" x14ac:dyDescent="0.25">
      <c r="C12" s="36" t="s">
        <v>11</v>
      </c>
      <c r="D12" s="6" t="s">
        <v>19</v>
      </c>
      <c r="E12" s="11" t="s">
        <v>29</v>
      </c>
      <c r="F12" s="81">
        <f>+$E$3</f>
        <v>5000000</v>
      </c>
      <c r="G12" s="81"/>
      <c r="H12" s="81">
        <f>+$E$3</f>
        <v>5000000</v>
      </c>
      <c r="I12" s="81"/>
      <c r="J12" s="81">
        <f>+$E$3</f>
        <v>5000000</v>
      </c>
      <c r="K12" s="81"/>
      <c r="L12" s="12"/>
      <c r="M12" s="37"/>
    </row>
    <row r="13" spans="3:13" x14ac:dyDescent="0.25">
      <c r="C13" s="36" t="s">
        <v>33</v>
      </c>
      <c r="D13" s="6" t="s">
        <v>20</v>
      </c>
      <c r="E13" s="11" t="s">
        <v>30</v>
      </c>
      <c r="F13" s="81">
        <f>F12*G11</f>
        <v>1000000</v>
      </c>
      <c r="G13" s="81"/>
      <c r="H13" s="81">
        <f>H12*I11</f>
        <v>-1000000</v>
      </c>
      <c r="I13" s="81"/>
      <c r="J13" s="83">
        <f>J12*K11</f>
        <v>0</v>
      </c>
      <c r="K13" s="83"/>
      <c r="L13" s="12"/>
      <c r="M13" s="37"/>
    </row>
    <row r="14" spans="3:13" x14ac:dyDescent="0.25">
      <c r="C14" s="36" t="s">
        <v>7</v>
      </c>
      <c r="D14" s="6" t="s">
        <v>21</v>
      </c>
      <c r="E14" s="11" t="s">
        <v>31</v>
      </c>
      <c r="F14" s="81">
        <f>F12+F13</f>
        <v>6000000</v>
      </c>
      <c r="G14" s="81"/>
      <c r="H14" s="81">
        <f>H12+H13</f>
        <v>4000000</v>
      </c>
      <c r="I14" s="81"/>
      <c r="J14" s="81">
        <f>J12+J13</f>
        <v>5000000</v>
      </c>
      <c r="K14" s="81"/>
      <c r="L14" s="12"/>
      <c r="M14" s="37"/>
    </row>
    <row r="15" spans="3:13" x14ac:dyDescent="0.25">
      <c r="C15" s="85"/>
      <c r="D15" s="86"/>
      <c r="E15" s="86"/>
      <c r="F15" s="86"/>
      <c r="G15" s="86"/>
      <c r="H15" s="86"/>
      <c r="I15" s="86"/>
      <c r="J15" s="86"/>
      <c r="K15" s="86"/>
      <c r="L15" s="12"/>
      <c r="M15" s="37"/>
    </row>
    <row r="16" spans="3:13" x14ac:dyDescent="0.25">
      <c r="C16" s="36" t="s">
        <v>18</v>
      </c>
      <c r="D16" s="6" t="s">
        <v>22</v>
      </c>
      <c r="E16" s="11" t="s">
        <v>32</v>
      </c>
      <c r="F16" s="88">
        <f>(F12+F14)/2</f>
        <v>5500000</v>
      </c>
      <c r="G16" s="88"/>
      <c r="H16" s="88">
        <f>(H12+H14)/2</f>
        <v>4500000</v>
      </c>
      <c r="I16" s="88"/>
      <c r="J16" s="88">
        <f>(J12+J14)/2</f>
        <v>5000000</v>
      </c>
      <c r="K16" s="88"/>
      <c r="L16" s="12"/>
      <c r="M16" s="37"/>
    </row>
    <row r="17" spans="3:13" x14ac:dyDescent="0.25">
      <c r="C17" s="85"/>
      <c r="D17" s="86"/>
      <c r="E17" s="86"/>
      <c r="F17" s="86"/>
      <c r="G17" s="86"/>
      <c r="H17" s="86"/>
      <c r="I17" s="86"/>
      <c r="J17" s="86"/>
      <c r="K17" s="86"/>
      <c r="L17" s="12"/>
      <c r="M17" s="37"/>
    </row>
    <row r="18" spans="3:13" x14ac:dyDescent="0.25">
      <c r="C18" s="36" t="s">
        <v>34</v>
      </c>
      <c r="D18" s="6" t="s">
        <v>23</v>
      </c>
      <c r="E18" s="11" t="s">
        <v>55</v>
      </c>
      <c r="F18" s="81">
        <f>+F16*-$E$5</f>
        <v>-27500</v>
      </c>
      <c r="G18" s="81"/>
      <c r="H18" s="81">
        <f>+H16*-$E$5</f>
        <v>-22500</v>
      </c>
      <c r="I18" s="81"/>
      <c r="J18" s="81">
        <f>+J16*-$E$5</f>
        <v>-25000</v>
      </c>
      <c r="K18" s="81"/>
      <c r="L18" s="12"/>
      <c r="M18" s="37"/>
    </row>
    <row r="19" spans="3:13" x14ac:dyDescent="0.25">
      <c r="C19" s="36" t="s">
        <v>56</v>
      </c>
      <c r="D19" s="6" t="s">
        <v>24</v>
      </c>
      <c r="E19" s="11" t="s">
        <v>66</v>
      </c>
      <c r="F19" s="81">
        <f>+F16*-$E$8</f>
        <v>-11000</v>
      </c>
      <c r="G19" s="81"/>
      <c r="H19" s="81">
        <f>+H16*-$E$8</f>
        <v>-9000</v>
      </c>
      <c r="I19" s="81"/>
      <c r="J19" s="81">
        <f>+J16*-$E$8</f>
        <v>-10000</v>
      </c>
      <c r="K19" s="81"/>
      <c r="L19" s="12"/>
      <c r="M19" s="37"/>
    </row>
    <row r="20" spans="3:13" x14ac:dyDescent="0.25">
      <c r="C20" s="36" t="s">
        <v>35</v>
      </c>
      <c r="D20" s="6" t="s">
        <v>25</v>
      </c>
      <c r="E20" s="5" t="s">
        <v>58</v>
      </c>
      <c r="F20" s="81">
        <f>+(F16+F18+F19)*-$E$4</f>
        <v>-81922.5</v>
      </c>
      <c r="G20" s="81"/>
      <c r="H20" s="81">
        <f>+(H16+H18+H19)*-$E$4</f>
        <v>-67027.5</v>
      </c>
      <c r="I20" s="81"/>
      <c r="J20" s="81">
        <f>+(J16+J18+J19)*-$E$4</f>
        <v>-74475</v>
      </c>
      <c r="K20" s="81"/>
      <c r="L20" s="12"/>
      <c r="M20" s="37"/>
    </row>
    <row r="21" spans="3:13" x14ac:dyDescent="0.25">
      <c r="C21" s="36" t="s">
        <v>69</v>
      </c>
      <c r="D21" s="6" t="s">
        <v>26</v>
      </c>
      <c r="E21" s="5" t="s">
        <v>59</v>
      </c>
      <c r="F21" s="81">
        <f>+F18+F20+F19</f>
        <v>-120422.5</v>
      </c>
      <c r="G21" s="81"/>
      <c r="H21" s="81">
        <f>+H18+H20+H19</f>
        <v>-98527.5</v>
      </c>
      <c r="I21" s="81"/>
      <c r="J21" s="81">
        <f>+J18+J20+J19</f>
        <v>-109475</v>
      </c>
      <c r="K21" s="81"/>
      <c r="L21" s="12"/>
      <c r="M21" s="37"/>
    </row>
    <row r="22" spans="3:13" x14ac:dyDescent="0.25">
      <c r="C22" s="85"/>
      <c r="D22" s="86"/>
      <c r="E22" s="86"/>
      <c r="F22" s="86"/>
      <c r="G22" s="86"/>
      <c r="H22" s="86"/>
      <c r="I22" s="86"/>
      <c r="J22" s="86"/>
      <c r="K22" s="86"/>
      <c r="L22" s="12"/>
      <c r="M22" s="37"/>
    </row>
    <row r="23" spans="3:13" x14ac:dyDescent="0.25">
      <c r="C23" s="36" t="s">
        <v>43</v>
      </c>
      <c r="D23" s="6" t="s">
        <v>27</v>
      </c>
      <c r="E23" s="5" t="s">
        <v>67</v>
      </c>
      <c r="F23" s="81">
        <f>F14+F21</f>
        <v>5879577.5</v>
      </c>
      <c r="G23" s="81"/>
      <c r="H23" s="81">
        <f>H14+H21</f>
        <v>3901472.5</v>
      </c>
      <c r="I23" s="81"/>
      <c r="J23" s="81">
        <f>J14+J21</f>
        <v>4890525</v>
      </c>
      <c r="K23" s="81"/>
      <c r="L23" s="12"/>
      <c r="M23" s="37"/>
    </row>
    <row r="24" spans="3:13" ht="45" x14ac:dyDescent="0.25">
      <c r="C24" s="36" t="s">
        <v>71</v>
      </c>
      <c r="D24" s="6" t="s">
        <v>28</v>
      </c>
      <c r="E24" s="5"/>
      <c r="F24" s="81">
        <f>F12</f>
        <v>5000000</v>
      </c>
      <c r="G24" s="81"/>
      <c r="H24" s="81">
        <f>H12</f>
        <v>5000000</v>
      </c>
      <c r="I24" s="81"/>
      <c r="J24" s="81">
        <f>J12</f>
        <v>5000000</v>
      </c>
      <c r="K24" s="81"/>
      <c r="L24" s="12"/>
      <c r="M24" s="37"/>
    </row>
    <row r="25" spans="3:13" x14ac:dyDescent="0.25">
      <c r="C25" s="39" t="s">
        <v>72</v>
      </c>
      <c r="D25" s="6" t="s">
        <v>45</v>
      </c>
      <c r="E25" s="13" t="s">
        <v>70</v>
      </c>
      <c r="F25" s="81">
        <f>(F24*$E$7)</f>
        <v>700000.00000000012</v>
      </c>
      <c r="G25" s="81"/>
      <c r="H25" s="81">
        <f>(H24*$E$7)</f>
        <v>700000.00000000012</v>
      </c>
      <c r="I25" s="81"/>
      <c r="J25" s="81">
        <f>(J24*$E$7)</f>
        <v>700000.00000000012</v>
      </c>
      <c r="K25" s="81"/>
      <c r="L25" s="12"/>
      <c r="M25" s="37"/>
    </row>
    <row r="26" spans="3:13" ht="45" x14ac:dyDescent="0.25">
      <c r="C26" s="36" t="s">
        <v>73</v>
      </c>
      <c r="D26" s="6" t="s">
        <v>46</v>
      </c>
      <c r="E26" s="5" t="s">
        <v>74</v>
      </c>
      <c r="F26" s="81" t="str">
        <f>IF(F23&gt;(F24+F25),("Yes"),("No Pfee"))</f>
        <v>Yes</v>
      </c>
      <c r="G26" s="81"/>
      <c r="H26" s="81" t="str">
        <f>IF(H23&gt;(H24+H25),("Yes"),("No Pfee"))</f>
        <v>No Pfee</v>
      </c>
      <c r="I26" s="81"/>
      <c r="J26" s="81" t="str">
        <f>IF(J23&gt;(J24+J25),("Yes"),("No Pfee"))</f>
        <v>No Pfee</v>
      </c>
      <c r="K26" s="81"/>
      <c r="L26" s="12"/>
      <c r="M26" s="37"/>
    </row>
    <row r="27" spans="3:13" x14ac:dyDescent="0.25">
      <c r="C27" s="103" t="s">
        <v>44</v>
      </c>
      <c r="D27" s="104"/>
      <c r="E27" s="104"/>
      <c r="F27" s="104"/>
      <c r="G27" s="104"/>
      <c r="H27" s="104"/>
      <c r="I27" s="104"/>
      <c r="J27" s="104"/>
      <c r="K27" s="104"/>
      <c r="L27" s="12"/>
      <c r="M27" s="37"/>
    </row>
    <row r="28" spans="3:13" x14ac:dyDescent="0.25">
      <c r="C28" s="36" t="s">
        <v>53</v>
      </c>
      <c r="D28" s="6" t="s">
        <v>47</v>
      </c>
      <c r="E28" s="5" t="s">
        <v>75</v>
      </c>
      <c r="F28" s="81">
        <f>+IF(F26="Yes",(F23-F24-F25),(0))</f>
        <v>179577.49999999988</v>
      </c>
      <c r="G28" s="81"/>
      <c r="H28" s="81">
        <f>+IF(H26="Yes",(H23-H24-H25),(0))</f>
        <v>0</v>
      </c>
      <c r="I28" s="81"/>
      <c r="J28" s="81">
        <f>+IF(J26="Yes",(J23-J24-J25),(0))</f>
        <v>0</v>
      </c>
      <c r="K28" s="81"/>
      <c r="L28" s="12"/>
      <c r="M28" s="37"/>
    </row>
    <row r="29" spans="3:13" x14ac:dyDescent="0.25">
      <c r="C29" s="39" t="s">
        <v>48</v>
      </c>
      <c r="D29" s="6" t="s">
        <v>49</v>
      </c>
      <c r="E29" s="13" t="s">
        <v>76</v>
      </c>
      <c r="F29" s="81">
        <f>+F28*-$E$6</f>
        <v>-25140.849999999988</v>
      </c>
      <c r="G29" s="81"/>
      <c r="H29" s="81">
        <f>+H28*-$E$6</f>
        <v>0</v>
      </c>
      <c r="I29" s="81"/>
      <c r="J29" s="81">
        <f>+J28*-$E$6</f>
        <v>0</v>
      </c>
      <c r="K29" s="81"/>
      <c r="L29" s="12"/>
      <c r="M29" s="37"/>
    </row>
    <row r="30" spans="3:13" x14ac:dyDescent="0.25">
      <c r="C30" s="38"/>
      <c r="D30" s="6"/>
      <c r="E30" s="6"/>
      <c r="F30" s="6"/>
      <c r="G30" s="6"/>
      <c r="H30" s="6"/>
      <c r="I30" s="6"/>
      <c r="J30" s="6"/>
      <c r="K30" s="6"/>
      <c r="L30" s="12"/>
      <c r="M30" s="37"/>
    </row>
    <row r="31" spans="3:13" ht="30" x14ac:dyDescent="0.25">
      <c r="C31" s="36" t="s">
        <v>54</v>
      </c>
      <c r="D31" s="6" t="s">
        <v>50</v>
      </c>
      <c r="E31" s="5" t="s">
        <v>77</v>
      </c>
      <c r="F31" s="81">
        <f>+F23+F29</f>
        <v>5854436.6500000004</v>
      </c>
      <c r="G31" s="81"/>
      <c r="H31" s="81">
        <f>+H23+H29</f>
        <v>3901472.5</v>
      </c>
      <c r="I31" s="81"/>
      <c r="J31" s="81">
        <f>+J23+J29</f>
        <v>4890525</v>
      </c>
      <c r="K31" s="81"/>
      <c r="L31" s="12"/>
      <c r="M31" s="37"/>
    </row>
    <row r="32" spans="3:13" x14ac:dyDescent="0.25">
      <c r="C32" s="36" t="s">
        <v>10</v>
      </c>
      <c r="D32" s="6" t="s">
        <v>52</v>
      </c>
      <c r="E32" s="5" t="s">
        <v>78</v>
      </c>
      <c r="F32" s="90">
        <f>+F31/F12-1</f>
        <v>0.17088733</v>
      </c>
      <c r="G32" s="90"/>
      <c r="H32" s="90">
        <f>+H31/H12-1</f>
        <v>-0.2197055</v>
      </c>
      <c r="I32" s="90"/>
      <c r="J32" s="90">
        <f>+J31/J12-1</f>
        <v>-2.1894999999999998E-2</v>
      </c>
      <c r="K32" s="90"/>
      <c r="L32" s="12"/>
      <c r="M32" s="37"/>
    </row>
    <row r="33" spans="2:13" x14ac:dyDescent="0.25">
      <c r="C33" s="38"/>
      <c r="D33" s="6"/>
      <c r="E33" s="6"/>
      <c r="F33" s="6"/>
      <c r="G33" s="6"/>
      <c r="H33" s="6"/>
      <c r="I33" s="6"/>
      <c r="J33" s="6"/>
      <c r="K33" s="6"/>
      <c r="L33" s="12"/>
      <c r="M33" s="37"/>
    </row>
    <row r="34" spans="2:13" ht="30" x14ac:dyDescent="0.25">
      <c r="C34" s="36" t="s">
        <v>111</v>
      </c>
      <c r="D34" s="6" t="s">
        <v>80</v>
      </c>
      <c r="E34" s="5" t="s">
        <v>87</v>
      </c>
      <c r="F34" s="81">
        <f>+MAX(F24,F31)</f>
        <v>5854436.6500000004</v>
      </c>
      <c r="G34" s="81"/>
      <c r="H34" s="81">
        <f>+MAX(H24,H31)</f>
        <v>5000000</v>
      </c>
      <c r="I34" s="81"/>
      <c r="J34" s="81">
        <f>+MAX(J24,J31)</f>
        <v>5000000</v>
      </c>
      <c r="K34" s="81"/>
      <c r="L34" s="12"/>
      <c r="M34" s="37"/>
    </row>
    <row r="35" spans="2:13" ht="45" x14ac:dyDescent="0.25">
      <c r="C35" s="36" t="s">
        <v>112</v>
      </c>
      <c r="D35" s="6" t="s">
        <v>80</v>
      </c>
      <c r="E35" s="5" t="s">
        <v>86</v>
      </c>
      <c r="F35" s="81">
        <f>+MAX(F23,F24)</f>
        <v>5879577.5</v>
      </c>
      <c r="G35" s="81"/>
      <c r="H35" s="81">
        <f>+MAX(H23,H24)</f>
        <v>5000000</v>
      </c>
      <c r="I35" s="81"/>
      <c r="J35" s="81">
        <f>+MAX(J23,J24)</f>
        <v>5000000</v>
      </c>
      <c r="K35" s="81"/>
      <c r="L35" s="12"/>
      <c r="M35" s="37"/>
    </row>
    <row r="36" spans="2:13" x14ac:dyDescent="0.25">
      <c r="C36" s="36"/>
      <c r="D36" s="6"/>
      <c r="E36" s="5"/>
      <c r="F36" s="12"/>
      <c r="G36" s="12"/>
      <c r="H36" s="12"/>
      <c r="I36" s="12"/>
      <c r="J36" s="12"/>
      <c r="K36" s="12"/>
      <c r="L36" s="12"/>
      <c r="M36" s="37"/>
    </row>
    <row r="37" spans="2:13" ht="15.75" thickBot="1" x14ac:dyDescent="0.3">
      <c r="B37" s="48"/>
      <c r="C37" s="61" t="s">
        <v>88</v>
      </c>
      <c r="D37" s="62"/>
      <c r="E37" s="63"/>
      <c r="F37" s="63"/>
      <c r="G37" s="63"/>
      <c r="H37" s="63"/>
      <c r="I37" s="63"/>
      <c r="J37" s="63"/>
      <c r="K37" s="63"/>
      <c r="L37" s="63"/>
      <c r="M37" s="64"/>
    </row>
    <row r="38" spans="2:13" ht="34.5" customHeight="1" thickBot="1" x14ac:dyDescent="0.3">
      <c r="B38" s="49">
        <v>1</v>
      </c>
      <c r="C38" s="92" t="s">
        <v>118</v>
      </c>
      <c r="D38" s="93"/>
      <c r="E38" s="93"/>
      <c r="F38" s="93"/>
      <c r="G38" s="93"/>
      <c r="H38" s="93"/>
      <c r="I38" s="93"/>
      <c r="J38" s="93"/>
      <c r="K38" s="93"/>
      <c r="L38" s="93"/>
      <c r="M38" s="94"/>
    </row>
    <row r="39" spans="2:13" ht="33.75" customHeight="1" thickBot="1" x14ac:dyDescent="0.3">
      <c r="B39" s="49">
        <f t="shared" ref="B39:B48" si="0">+B38+1</f>
        <v>2</v>
      </c>
      <c r="C39" s="92" t="s">
        <v>61</v>
      </c>
      <c r="D39" s="93"/>
      <c r="E39" s="93"/>
      <c r="F39" s="93"/>
      <c r="G39" s="93"/>
      <c r="H39" s="93"/>
      <c r="I39" s="93"/>
      <c r="J39" s="93"/>
      <c r="K39" s="93"/>
      <c r="L39" s="93"/>
      <c r="M39" s="94"/>
    </row>
    <row r="40" spans="2:13" ht="13.5" customHeight="1" thickBot="1" x14ac:dyDescent="0.3">
      <c r="B40" s="49">
        <f t="shared" si="0"/>
        <v>3</v>
      </c>
      <c r="C40" s="92" t="s">
        <v>60</v>
      </c>
      <c r="D40" s="93"/>
      <c r="E40" s="93"/>
      <c r="F40" s="93"/>
      <c r="G40" s="93"/>
      <c r="H40" s="93"/>
      <c r="I40" s="93"/>
      <c r="J40" s="93"/>
      <c r="K40" s="93"/>
      <c r="L40" s="93"/>
      <c r="M40" s="94"/>
    </row>
    <row r="41" spans="2:13" ht="35.25" customHeight="1" thickBot="1" x14ac:dyDescent="0.3">
      <c r="B41" s="49">
        <f t="shared" si="0"/>
        <v>4</v>
      </c>
      <c r="C41" s="92" t="s">
        <v>37</v>
      </c>
      <c r="D41" s="93"/>
      <c r="E41" s="93"/>
      <c r="F41" s="93"/>
      <c r="G41" s="93"/>
      <c r="H41" s="93"/>
      <c r="I41" s="93"/>
      <c r="J41" s="93"/>
      <c r="K41" s="93"/>
      <c r="L41" s="93"/>
      <c r="M41" s="94"/>
    </row>
    <row r="42" spans="2:13" ht="33" customHeight="1" thickBot="1" x14ac:dyDescent="0.3">
      <c r="B42" s="49">
        <f t="shared" si="0"/>
        <v>5</v>
      </c>
      <c r="C42" s="92" t="s">
        <v>62</v>
      </c>
      <c r="D42" s="93"/>
      <c r="E42" s="93"/>
      <c r="F42" s="93"/>
      <c r="G42" s="93"/>
      <c r="H42" s="93"/>
      <c r="I42" s="93"/>
      <c r="J42" s="93"/>
      <c r="K42" s="93"/>
      <c r="L42" s="93"/>
      <c r="M42" s="94"/>
    </row>
    <row r="43" spans="2:13" ht="15.75" thickBot="1" x14ac:dyDescent="0.3">
      <c r="B43" s="49">
        <f t="shared" si="0"/>
        <v>6</v>
      </c>
      <c r="C43" s="92" t="s">
        <v>51</v>
      </c>
      <c r="D43" s="93"/>
      <c r="E43" s="93"/>
      <c r="F43" s="93"/>
      <c r="G43" s="93"/>
      <c r="H43" s="93"/>
      <c r="I43" s="93"/>
      <c r="J43" s="93"/>
      <c r="K43" s="93"/>
      <c r="L43" s="93"/>
      <c r="M43" s="94"/>
    </row>
    <row r="44" spans="2:13" ht="45.75" customHeight="1" thickBot="1" x14ac:dyDescent="0.3">
      <c r="B44" s="49">
        <f t="shared" si="0"/>
        <v>7</v>
      </c>
      <c r="C44" s="92" t="s">
        <v>103</v>
      </c>
      <c r="D44" s="93"/>
      <c r="E44" s="93"/>
      <c r="F44" s="93"/>
      <c r="G44" s="93"/>
      <c r="H44" s="93"/>
      <c r="I44" s="93"/>
      <c r="J44" s="93"/>
      <c r="K44" s="93"/>
      <c r="L44" s="93"/>
      <c r="M44" s="94"/>
    </row>
    <row r="45" spans="2:13" ht="48" customHeight="1" thickBot="1" x14ac:dyDescent="0.3">
      <c r="B45" s="49">
        <f t="shared" si="0"/>
        <v>8</v>
      </c>
      <c r="C45" s="92" t="s">
        <v>102</v>
      </c>
      <c r="D45" s="93"/>
      <c r="E45" s="93"/>
      <c r="F45" s="93"/>
      <c r="G45" s="93"/>
      <c r="H45" s="93"/>
      <c r="I45" s="93"/>
      <c r="J45" s="93"/>
      <c r="K45" s="93"/>
      <c r="L45" s="93"/>
      <c r="M45" s="94"/>
    </row>
    <row r="46" spans="2:13" ht="15" customHeight="1" thickBot="1" x14ac:dyDescent="0.3">
      <c r="B46" s="49">
        <f t="shared" si="0"/>
        <v>9</v>
      </c>
      <c r="C46" s="105" t="s">
        <v>82</v>
      </c>
      <c r="D46" s="106"/>
      <c r="E46" s="106"/>
      <c r="F46" s="106"/>
      <c r="G46" s="106"/>
      <c r="H46" s="106"/>
      <c r="I46" s="106"/>
      <c r="J46" s="106"/>
      <c r="K46" s="106"/>
      <c r="L46" s="106"/>
      <c r="M46" s="107"/>
    </row>
    <row r="47" spans="2:13" ht="15" customHeight="1" thickBot="1" x14ac:dyDescent="0.3">
      <c r="B47" s="49">
        <f t="shared" si="0"/>
        <v>10</v>
      </c>
      <c r="C47" s="105" t="s">
        <v>85</v>
      </c>
      <c r="D47" s="106"/>
      <c r="E47" s="106"/>
      <c r="F47" s="106"/>
      <c r="G47" s="106"/>
      <c r="H47" s="106"/>
      <c r="I47" s="106"/>
      <c r="J47" s="106"/>
      <c r="K47" s="106"/>
      <c r="L47" s="106"/>
      <c r="M47" s="107"/>
    </row>
    <row r="48" spans="2:13" ht="15" customHeight="1" thickBot="1" x14ac:dyDescent="0.3">
      <c r="B48" s="49">
        <f t="shared" si="0"/>
        <v>11</v>
      </c>
      <c r="C48" s="105" t="s">
        <v>64</v>
      </c>
      <c r="D48" s="106"/>
      <c r="E48" s="106"/>
      <c r="F48" s="106"/>
      <c r="G48" s="106"/>
      <c r="H48" s="106"/>
      <c r="I48" s="106"/>
      <c r="J48" s="106"/>
      <c r="K48" s="106"/>
      <c r="L48" s="106"/>
      <c r="M48" s="107"/>
    </row>
    <row r="49" spans="2:13" ht="15" customHeight="1" thickBot="1" x14ac:dyDescent="0.3">
      <c r="B49" s="49">
        <v>12</v>
      </c>
      <c r="C49" s="105" t="s">
        <v>104</v>
      </c>
      <c r="D49" s="106"/>
      <c r="E49" s="106"/>
      <c r="F49" s="106"/>
      <c r="G49" s="106"/>
      <c r="H49" s="106"/>
      <c r="I49" s="106"/>
      <c r="J49" s="106"/>
      <c r="K49" s="106"/>
      <c r="L49" s="106"/>
      <c r="M49" s="107"/>
    </row>
  </sheetData>
  <sheetProtection algorithmName="SHA-512" hashValue="Sv5C8AE2vMB2n7PufhbJ/3qNXXxDIcBma43YD7bLWGcTI2DGTKuIKdaFJf6s/MeCfA77sjdEdqkFAUId9csz9A==" saltValue="sR9CmhD18GEOlm+uO6Y0kA==" spinCount="100000" sheet="1" formatCells="0" formatColumns="0" formatRows="0" insertColumns="0" insertRows="0" insertHyperlinks="0" deleteColumns="0" deleteRows="0" sort="0" autoFilter="0" pivotTables="0"/>
  <mergeCells count="74">
    <mergeCell ref="C49:M49"/>
    <mergeCell ref="C47:M47"/>
    <mergeCell ref="C48:M48"/>
    <mergeCell ref="C42:M42"/>
    <mergeCell ref="C43:M43"/>
    <mergeCell ref="C44:M44"/>
    <mergeCell ref="C45:M45"/>
    <mergeCell ref="C46:M46"/>
    <mergeCell ref="C38:M38"/>
    <mergeCell ref="C39:M39"/>
    <mergeCell ref="C41:M41"/>
    <mergeCell ref="C40:M40"/>
    <mergeCell ref="F29:G29"/>
    <mergeCell ref="H29:I29"/>
    <mergeCell ref="J29:K29"/>
    <mergeCell ref="F34:G34"/>
    <mergeCell ref="H34:I34"/>
    <mergeCell ref="J34:K34"/>
    <mergeCell ref="F35:G35"/>
    <mergeCell ref="H35:I35"/>
    <mergeCell ref="J35:K35"/>
    <mergeCell ref="C27:K27"/>
    <mergeCell ref="F28:G28"/>
    <mergeCell ref="H28:I28"/>
    <mergeCell ref="J28:K28"/>
    <mergeCell ref="F25:G25"/>
    <mergeCell ref="H25:I25"/>
    <mergeCell ref="J25:K25"/>
    <mergeCell ref="H26:I26"/>
    <mergeCell ref="J26:K26"/>
    <mergeCell ref="F23:G23"/>
    <mergeCell ref="H19:I19"/>
    <mergeCell ref="J19:K19"/>
    <mergeCell ref="J31:K31"/>
    <mergeCell ref="J32:K32"/>
    <mergeCell ref="J23:K23"/>
    <mergeCell ref="H21:I21"/>
    <mergeCell ref="H31:I31"/>
    <mergeCell ref="H32:I32"/>
    <mergeCell ref="C22:K22"/>
    <mergeCell ref="F31:G31"/>
    <mergeCell ref="F32:G32"/>
    <mergeCell ref="F24:G24"/>
    <mergeCell ref="H24:I24"/>
    <mergeCell ref="J24:K24"/>
    <mergeCell ref="F26:G26"/>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J10:K10"/>
    <mergeCell ref="H12:I12"/>
    <mergeCell ref="H13:I13"/>
    <mergeCell ref="F14:G14"/>
    <mergeCell ref="H20:I20"/>
    <mergeCell ref="F12:G12"/>
    <mergeCell ref="F13:G13"/>
    <mergeCell ref="F18:G18"/>
    <mergeCell ref="F20:G20"/>
    <mergeCell ref="F16:G16"/>
    <mergeCell ref="C15:K15"/>
    <mergeCell ref="C17:K17"/>
    <mergeCell ref="F19:G19"/>
  </mergeCells>
  <printOptions horizontalCentered="1"/>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9"/>
  <sheetViews>
    <sheetView showGridLines="0" zoomScaleNormal="100" workbookViewId="0">
      <selection activeCell="F13" sqref="F13:G13"/>
    </sheetView>
  </sheetViews>
  <sheetFormatPr defaultColWidth="8.85546875" defaultRowHeight="15" x14ac:dyDescent="0.25"/>
  <cols>
    <col min="1" max="1" width="8.85546875" style="2"/>
    <col min="2" max="2" width="5.42578125" style="47" customWidth="1"/>
    <col min="3" max="3" width="51.42578125" style="1" customWidth="1"/>
    <col min="4" max="4" width="4.5703125" style="3" customWidth="1"/>
    <col min="5" max="5" width="17.85546875" style="1" customWidth="1"/>
    <col min="6" max="6" width="10.42578125" style="2" bestFit="1" customWidth="1"/>
    <col min="7" max="7" width="4.42578125" style="2" bestFit="1" customWidth="1"/>
    <col min="8" max="8" width="8" style="2" bestFit="1" customWidth="1"/>
    <col min="9" max="9" width="5.140625" style="2" bestFit="1" customWidth="1"/>
    <col min="10" max="10" width="13.140625" style="2" customWidth="1"/>
    <col min="11" max="11" width="6.28515625" style="2" customWidth="1"/>
    <col min="12" max="12" width="9.85546875" style="2" bestFit="1" customWidth="1"/>
    <col min="13" max="13" width="3.5703125" style="2" bestFit="1" customWidth="1"/>
    <col min="14" max="16384" width="8.85546875" style="2"/>
  </cols>
  <sheetData>
    <row r="1" spans="3:13" ht="15.75" thickBot="1" x14ac:dyDescent="0.3"/>
    <row r="2" spans="3:13" x14ac:dyDescent="0.25">
      <c r="C2" s="31" t="s">
        <v>0</v>
      </c>
      <c r="D2" s="32"/>
      <c r="E2" s="33"/>
      <c r="F2" s="40"/>
      <c r="G2" s="40"/>
      <c r="H2" s="40"/>
      <c r="I2" s="40"/>
      <c r="J2" s="40"/>
      <c r="K2" s="40"/>
      <c r="L2" s="40"/>
      <c r="M2" s="41"/>
    </row>
    <row r="3" spans="3:13" x14ac:dyDescent="0.25">
      <c r="C3" s="36" t="s">
        <v>2</v>
      </c>
      <c r="D3" s="6" t="s">
        <v>15</v>
      </c>
      <c r="E3" s="7">
        <v>5000000</v>
      </c>
      <c r="M3" s="42"/>
    </row>
    <row r="4" spans="3:13" x14ac:dyDescent="0.25">
      <c r="C4" s="36" t="s">
        <v>1</v>
      </c>
      <c r="D4" s="6" t="s">
        <v>16</v>
      </c>
      <c r="E4" s="8">
        <v>0</v>
      </c>
      <c r="M4" s="42"/>
    </row>
    <row r="5" spans="3:13" x14ac:dyDescent="0.25">
      <c r="C5" s="36" t="s">
        <v>6</v>
      </c>
      <c r="D5" s="6" t="s">
        <v>17</v>
      </c>
      <c r="E5" s="8">
        <v>5.0000000000000001E-3</v>
      </c>
      <c r="M5" s="42"/>
    </row>
    <row r="6" spans="3:13" x14ac:dyDescent="0.25">
      <c r="C6" s="36" t="s">
        <v>39</v>
      </c>
      <c r="D6" s="6" t="s">
        <v>41</v>
      </c>
      <c r="E6" s="8">
        <v>0.14000000000000001</v>
      </c>
      <c r="M6" s="42"/>
    </row>
    <row r="7" spans="3:13" x14ac:dyDescent="0.25">
      <c r="C7" s="36" t="s">
        <v>40</v>
      </c>
      <c r="D7" s="6" t="s">
        <v>42</v>
      </c>
      <c r="E7" s="8">
        <v>0.14000000000000001</v>
      </c>
      <c r="M7" s="42"/>
    </row>
    <row r="8" spans="3:13" x14ac:dyDescent="0.25">
      <c r="C8" s="36" t="s">
        <v>56</v>
      </c>
      <c r="D8" s="6" t="s">
        <v>65</v>
      </c>
      <c r="E8" s="8">
        <v>2E-3</v>
      </c>
      <c r="M8" s="42"/>
    </row>
    <row r="9" spans="3:13" ht="15.75" thickBot="1" x14ac:dyDescent="0.3">
      <c r="C9" s="43"/>
      <c r="F9" s="44"/>
      <c r="M9" s="42"/>
    </row>
    <row r="10" spans="3:13" ht="15.75" thickBot="1" x14ac:dyDescent="0.3">
      <c r="C10" s="76" t="s">
        <v>79</v>
      </c>
      <c r="D10" s="77"/>
      <c r="E10" s="78"/>
      <c r="F10" s="101" t="s">
        <v>12</v>
      </c>
      <c r="G10" s="102"/>
      <c r="H10" s="101" t="s">
        <v>13</v>
      </c>
      <c r="I10" s="102"/>
      <c r="J10" s="101" t="s">
        <v>14</v>
      </c>
      <c r="K10" s="102"/>
      <c r="M10" s="42"/>
    </row>
    <row r="11" spans="3:13" x14ac:dyDescent="0.25">
      <c r="C11" s="76"/>
      <c r="D11" s="77"/>
      <c r="E11" s="77"/>
      <c r="F11" s="66" t="s">
        <v>3</v>
      </c>
      <c r="G11" s="67">
        <v>0.2</v>
      </c>
      <c r="H11" s="9" t="s">
        <v>4</v>
      </c>
      <c r="I11" s="10">
        <v>-0.2</v>
      </c>
      <c r="J11" s="9" t="s">
        <v>5</v>
      </c>
      <c r="K11" s="10">
        <v>0</v>
      </c>
      <c r="M11" s="42"/>
    </row>
    <row r="12" spans="3:13" x14ac:dyDescent="0.25">
      <c r="C12" s="36" t="s">
        <v>11</v>
      </c>
      <c r="D12" s="6" t="s">
        <v>19</v>
      </c>
      <c r="E12" s="11" t="s">
        <v>29</v>
      </c>
      <c r="F12" s="81">
        <f>+$E$3</f>
        <v>5000000</v>
      </c>
      <c r="G12" s="81"/>
      <c r="H12" s="81">
        <f>+$E$3</f>
        <v>5000000</v>
      </c>
      <c r="I12" s="81"/>
      <c r="J12" s="81">
        <f>+$E$3</f>
        <v>5000000</v>
      </c>
      <c r="K12" s="81"/>
      <c r="M12" s="42"/>
    </row>
    <row r="13" spans="3:13" x14ac:dyDescent="0.25">
      <c r="C13" s="36" t="s">
        <v>33</v>
      </c>
      <c r="D13" s="6" t="s">
        <v>20</v>
      </c>
      <c r="E13" s="11" t="s">
        <v>30</v>
      </c>
      <c r="F13" s="81">
        <f>F12*G11</f>
        <v>1000000</v>
      </c>
      <c r="G13" s="81"/>
      <c r="H13" s="81">
        <f>H12*I11</f>
        <v>-1000000</v>
      </c>
      <c r="I13" s="81"/>
      <c r="J13" s="83">
        <f>J12*K11</f>
        <v>0</v>
      </c>
      <c r="K13" s="83"/>
      <c r="M13" s="42"/>
    </row>
    <row r="14" spans="3:13" x14ac:dyDescent="0.25">
      <c r="C14" s="36" t="s">
        <v>7</v>
      </c>
      <c r="D14" s="6" t="s">
        <v>21</v>
      </c>
      <c r="E14" s="11" t="s">
        <v>31</v>
      </c>
      <c r="F14" s="81">
        <f>F12+F13</f>
        <v>6000000</v>
      </c>
      <c r="G14" s="81"/>
      <c r="H14" s="81">
        <f>H12+H13</f>
        <v>4000000</v>
      </c>
      <c r="I14" s="81"/>
      <c r="J14" s="81">
        <f>J12+J13</f>
        <v>5000000</v>
      </c>
      <c r="K14" s="81"/>
      <c r="M14" s="42"/>
    </row>
    <row r="15" spans="3:13" x14ac:dyDescent="0.25">
      <c r="C15" s="85"/>
      <c r="D15" s="86"/>
      <c r="E15" s="86"/>
      <c r="F15" s="86"/>
      <c r="G15" s="86"/>
      <c r="H15" s="86"/>
      <c r="I15" s="86"/>
      <c r="J15" s="86"/>
      <c r="K15" s="86"/>
      <c r="M15" s="42"/>
    </row>
    <row r="16" spans="3:13" x14ac:dyDescent="0.25">
      <c r="C16" s="36" t="s">
        <v>18</v>
      </c>
      <c r="D16" s="6" t="s">
        <v>22</v>
      </c>
      <c r="E16" s="11" t="s">
        <v>32</v>
      </c>
      <c r="F16" s="81">
        <f>(F12+F14)/2</f>
        <v>5500000</v>
      </c>
      <c r="G16" s="81"/>
      <c r="H16" s="81">
        <f>(H12+H14)/2</f>
        <v>4500000</v>
      </c>
      <c r="I16" s="81"/>
      <c r="J16" s="81">
        <f>(J12+J14)/2</f>
        <v>5000000</v>
      </c>
      <c r="K16" s="81"/>
      <c r="M16" s="42"/>
    </row>
    <row r="17" spans="3:13" x14ac:dyDescent="0.25">
      <c r="C17" s="85"/>
      <c r="D17" s="86"/>
      <c r="E17" s="86"/>
      <c r="F17" s="86"/>
      <c r="G17" s="86"/>
      <c r="H17" s="86"/>
      <c r="I17" s="86"/>
      <c r="J17" s="86"/>
      <c r="K17" s="86"/>
      <c r="M17" s="42"/>
    </row>
    <row r="18" spans="3:13" x14ac:dyDescent="0.25">
      <c r="C18" s="36" t="s">
        <v>34</v>
      </c>
      <c r="D18" s="6" t="s">
        <v>23</v>
      </c>
      <c r="E18" s="11" t="s">
        <v>55</v>
      </c>
      <c r="F18" s="81">
        <f>+F16*-$E$5</f>
        <v>-27500</v>
      </c>
      <c r="G18" s="81"/>
      <c r="H18" s="81">
        <f>+H16*-$E$5</f>
        <v>-22500</v>
      </c>
      <c r="I18" s="81"/>
      <c r="J18" s="81">
        <f>+J16*-$E$5</f>
        <v>-25000</v>
      </c>
      <c r="K18" s="81"/>
      <c r="M18" s="42"/>
    </row>
    <row r="19" spans="3:13" x14ac:dyDescent="0.25">
      <c r="C19" s="36" t="s">
        <v>56</v>
      </c>
      <c r="D19" s="6" t="s">
        <v>24</v>
      </c>
      <c r="E19" s="11" t="s">
        <v>66</v>
      </c>
      <c r="F19" s="81">
        <f>+F16*-$E$8</f>
        <v>-11000</v>
      </c>
      <c r="G19" s="81"/>
      <c r="H19" s="81">
        <f>+H16*-$E$8</f>
        <v>-9000</v>
      </c>
      <c r="I19" s="81"/>
      <c r="J19" s="81">
        <f>+J16*-$E$8</f>
        <v>-10000</v>
      </c>
      <c r="K19" s="81"/>
      <c r="M19" s="42"/>
    </row>
    <row r="20" spans="3:13" x14ac:dyDescent="0.25">
      <c r="C20" s="36" t="s">
        <v>35</v>
      </c>
      <c r="D20" s="6" t="s">
        <v>25</v>
      </c>
      <c r="E20" s="5" t="s">
        <v>58</v>
      </c>
      <c r="F20" s="81">
        <f>+(F16+F18+F19)*-$E$4</f>
        <v>0</v>
      </c>
      <c r="G20" s="81"/>
      <c r="H20" s="81">
        <f>+(H16+H18+H19)*-$E$4</f>
        <v>0</v>
      </c>
      <c r="I20" s="81"/>
      <c r="J20" s="81">
        <f>+(J16+J18+J19)*-$E$4</f>
        <v>0</v>
      </c>
      <c r="K20" s="81"/>
      <c r="M20" s="42"/>
    </row>
    <row r="21" spans="3:13" x14ac:dyDescent="0.25">
      <c r="C21" s="36" t="s">
        <v>69</v>
      </c>
      <c r="D21" s="6" t="s">
        <v>26</v>
      </c>
      <c r="E21" s="5" t="s">
        <v>59</v>
      </c>
      <c r="F21" s="81">
        <f>+F18+F20+F19</f>
        <v>-38500</v>
      </c>
      <c r="G21" s="81"/>
      <c r="H21" s="81">
        <f>+H18+H20+H19</f>
        <v>-31500</v>
      </c>
      <c r="I21" s="81"/>
      <c r="J21" s="81">
        <f>+J18+J20+J19</f>
        <v>-35000</v>
      </c>
      <c r="K21" s="81"/>
      <c r="M21" s="42"/>
    </row>
    <row r="22" spans="3:13" x14ac:dyDescent="0.25">
      <c r="C22" s="85"/>
      <c r="D22" s="86"/>
      <c r="E22" s="86"/>
      <c r="F22" s="86"/>
      <c r="G22" s="86"/>
      <c r="H22" s="86"/>
      <c r="I22" s="86"/>
      <c r="J22" s="86"/>
      <c r="K22" s="86"/>
      <c r="M22" s="42"/>
    </row>
    <row r="23" spans="3:13" x14ac:dyDescent="0.25">
      <c r="C23" s="36" t="s">
        <v>43</v>
      </c>
      <c r="D23" s="6" t="s">
        <v>27</v>
      </c>
      <c r="E23" s="5" t="s">
        <v>67</v>
      </c>
      <c r="F23" s="81">
        <f>F14+F21</f>
        <v>5961500</v>
      </c>
      <c r="G23" s="81"/>
      <c r="H23" s="81">
        <f>H14+H21</f>
        <v>3968500</v>
      </c>
      <c r="I23" s="81"/>
      <c r="J23" s="81">
        <f>J14+J21</f>
        <v>4965000</v>
      </c>
      <c r="K23" s="81"/>
      <c r="M23" s="42"/>
    </row>
    <row r="24" spans="3:13" ht="45" x14ac:dyDescent="0.25">
      <c r="C24" s="36" t="s">
        <v>71</v>
      </c>
      <c r="D24" s="6" t="s">
        <v>28</v>
      </c>
      <c r="E24" s="5"/>
      <c r="F24" s="81">
        <f>F12</f>
        <v>5000000</v>
      </c>
      <c r="G24" s="81"/>
      <c r="H24" s="81">
        <f>H12</f>
        <v>5000000</v>
      </c>
      <c r="I24" s="81"/>
      <c r="J24" s="81">
        <f>J12</f>
        <v>5000000</v>
      </c>
      <c r="K24" s="81"/>
      <c r="M24" s="42"/>
    </row>
    <row r="25" spans="3:13" ht="30" x14ac:dyDescent="0.25">
      <c r="C25" s="39" t="s">
        <v>72</v>
      </c>
      <c r="D25" s="6" t="s">
        <v>45</v>
      </c>
      <c r="E25" s="13" t="s">
        <v>70</v>
      </c>
      <c r="F25" s="81">
        <f>(F24*$E$7)</f>
        <v>700000.00000000012</v>
      </c>
      <c r="G25" s="81"/>
      <c r="H25" s="81">
        <f>(H24*$E$7)</f>
        <v>700000.00000000012</v>
      </c>
      <c r="I25" s="81"/>
      <c r="J25" s="81">
        <f>(J24*$E$7)</f>
        <v>700000.00000000012</v>
      </c>
      <c r="K25" s="81"/>
      <c r="M25" s="42"/>
    </row>
    <row r="26" spans="3:13" ht="45" x14ac:dyDescent="0.25">
      <c r="C26" s="36" t="s">
        <v>73</v>
      </c>
      <c r="D26" s="6" t="s">
        <v>46</v>
      </c>
      <c r="E26" s="5" t="s">
        <v>74</v>
      </c>
      <c r="F26" s="81" t="str">
        <f>IF(F23&gt;(F24+F25),("Yes"),("No Pfee"))</f>
        <v>Yes</v>
      </c>
      <c r="G26" s="81"/>
      <c r="H26" s="81" t="str">
        <f>IF(H23&gt;(H24+H25),("Yes"),("No Pfee"))</f>
        <v>No Pfee</v>
      </c>
      <c r="I26" s="81"/>
      <c r="J26" s="81" t="str">
        <f>IF(J23&gt;(J24+J25),("Yes"),("No Pfee"))</f>
        <v>No Pfee</v>
      </c>
      <c r="K26" s="81"/>
      <c r="M26" s="42"/>
    </row>
    <row r="27" spans="3:13" x14ac:dyDescent="0.25">
      <c r="C27" s="103" t="s">
        <v>44</v>
      </c>
      <c r="D27" s="104"/>
      <c r="E27" s="104"/>
      <c r="F27" s="104"/>
      <c r="G27" s="104"/>
      <c r="H27" s="104"/>
      <c r="I27" s="104"/>
      <c r="J27" s="104"/>
      <c r="K27" s="104"/>
      <c r="M27" s="42"/>
    </row>
    <row r="28" spans="3:13" x14ac:dyDescent="0.25">
      <c r="C28" s="36" t="s">
        <v>53</v>
      </c>
      <c r="D28" s="6" t="s">
        <v>47</v>
      </c>
      <c r="E28" s="5" t="s">
        <v>75</v>
      </c>
      <c r="F28" s="81">
        <f>+IF(F26="Yes",(F23-F24-F25),(0))</f>
        <v>261499.99999999988</v>
      </c>
      <c r="G28" s="81"/>
      <c r="H28" s="81">
        <f>+IF(H26="Yes",(H23-H24-H25),(0))</f>
        <v>0</v>
      </c>
      <c r="I28" s="81"/>
      <c r="J28" s="81">
        <f>+IF(J26="Yes",(J23-J24-J25),(0))</f>
        <v>0</v>
      </c>
      <c r="K28" s="81"/>
      <c r="M28" s="42"/>
    </row>
    <row r="29" spans="3:13" x14ac:dyDescent="0.25">
      <c r="C29" s="39" t="s">
        <v>48</v>
      </c>
      <c r="D29" s="6" t="s">
        <v>49</v>
      </c>
      <c r="E29" s="13" t="s">
        <v>76</v>
      </c>
      <c r="F29" s="81">
        <f>+F28*-$E$6</f>
        <v>-36609.999999999985</v>
      </c>
      <c r="G29" s="81"/>
      <c r="H29" s="81">
        <f>+H28*-$E$6</f>
        <v>0</v>
      </c>
      <c r="I29" s="81"/>
      <c r="J29" s="81">
        <f>+J28*-$E$6</f>
        <v>0</v>
      </c>
      <c r="K29" s="81"/>
      <c r="M29" s="42"/>
    </row>
    <row r="30" spans="3:13" x14ac:dyDescent="0.25">
      <c r="C30" s="38"/>
      <c r="D30" s="6"/>
      <c r="E30" s="6"/>
      <c r="F30" s="6"/>
      <c r="G30" s="6"/>
      <c r="H30" s="6"/>
      <c r="I30" s="6"/>
      <c r="J30" s="6"/>
      <c r="K30" s="6"/>
      <c r="M30" s="42"/>
    </row>
    <row r="31" spans="3:13" ht="30" x14ac:dyDescent="0.25">
      <c r="C31" s="36" t="s">
        <v>54</v>
      </c>
      <c r="D31" s="6" t="s">
        <v>50</v>
      </c>
      <c r="E31" s="5" t="s">
        <v>77</v>
      </c>
      <c r="F31" s="81">
        <f>+F23+F29</f>
        <v>5924890</v>
      </c>
      <c r="G31" s="81"/>
      <c r="H31" s="81">
        <f>+H23+H29</f>
        <v>3968500</v>
      </c>
      <c r="I31" s="81"/>
      <c r="J31" s="81">
        <f>+J23+J29</f>
        <v>4965000</v>
      </c>
      <c r="K31" s="81"/>
      <c r="M31" s="42"/>
    </row>
    <row r="32" spans="3:13" x14ac:dyDescent="0.25">
      <c r="C32" s="36" t="s">
        <v>10</v>
      </c>
      <c r="D32" s="6" t="s">
        <v>52</v>
      </c>
      <c r="E32" s="5" t="s">
        <v>78</v>
      </c>
      <c r="F32" s="90">
        <f>+F31/F12-1</f>
        <v>0.18497800000000009</v>
      </c>
      <c r="G32" s="90"/>
      <c r="H32" s="90">
        <f>+H31/H12-1</f>
        <v>-0.20630000000000004</v>
      </c>
      <c r="I32" s="90"/>
      <c r="J32" s="90">
        <f>+J31/J12-1</f>
        <v>-7.0000000000000062E-3</v>
      </c>
      <c r="K32" s="90"/>
      <c r="M32" s="42"/>
    </row>
    <row r="33" spans="2:13" x14ac:dyDescent="0.25">
      <c r="C33" s="38"/>
      <c r="D33" s="6"/>
      <c r="E33" s="6"/>
      <c r="F33" s="6"/>
      <c r="G33" s="6"/>
      <c r="H33" s="6"/>
      <c r="I33" s="6"/>
      <c r="J33" s="6"/>
      <c r="K33" s="6"/>
      <c r="M33" s="42"/>
    </row>
    <row r="34" spans="2:13" ht="45" x14ac:dyDescent="0.25">
      <c r="C34" s="36" t="s">
        <v>113</v>
      </c>
      <c r="D34" s="6" t="s">
        <v>80</v>
      </c>
      <c r="E34" s="5" t="s">
        <v>87</v>
      </c>
      <c r="F34" s="81">
        <f>MAX(F24,F31)</f>
        <v>5924890</v>
      </c>
      <c r="G34" s="81"/>
      <c r="H34" s="81">
        <f>MAX(H24,H31)</f>
        <v>5000000</v>
      </c>
      <c r="I34" s="81"/>
      <c r="J34" s="81">
        <f>MAX(J24,J31)</f>
        <v>5000000</v>
      </c>
      <c r="K34" s="81"/>
      <c r="M34" s="42"/>
    </row>
    <row r="35" spans="2:13" ht="45" x14ac:dyDescent="0.25">
      <c r="C35" s="36" t="s">
        <v>114</v>
      </c>
      <c r="D35" s="6" t="s">
        <v>80</v>
      </c>
      <c r="E35" s="5" t="s">
        <v>86</v>
      </c>
      <c r="F35" s="81">
        <f>MAX(F24,F23)</f>
        <v>5961500</v>
      </c>
      <c r="G35" s="81"/>
      <c r="H35" s="81">
        <f>MAX(H24,H23)</f>
        <v>5000000</v>
      </c>
      <c r="I35" s="81"/>
      <c r="J35" s="81">
        <f>MAX(J24,J23)</f>
        <v>5000000</v>
      </c>
      <c r="K35" s="81"/>
      <c r="M35" s="42"/>
    </row>
    <row r="36" spans="2:13" x14ac:dyDescent="0.25">
      <c r="C36" s="43"/>
      <c r="F36" s="45"/>
      <c r="G36" s="45"/>
      <c r="H36" s="45"/>
      <c r="I36" s="45"/>
      <c r="J36" s="45"/>
      <c r="K36" s="45"/>
      <c r="L36" s="45"/>
      <c r="M36" s="46"/>
    </row>
    <row r="37" spans="2:13" ht="15.75" thickBot="1" x14ac:dyDescent="0.3">
      <c r="B37" s="48"/>
      <c r="C37" s="108" t="s">
        <v>88</v>
      </c>
      <c r="D37" s="109"/>
      <c r="E37" s="109"/>
      <c r="F37" s="109"/>
      <c r="G37" s="109"/>
      <c r="H37" s="109"/>
      <c r="I37" s="109"/>
      <c r="J37" s="109"/>
      <c r="K37" s="109"/>
      <c r="L37" s="109"/>
      <c r="M37" s="110"/>
    </row>
    <row r="38" spans="2:13" ht="42.75" customHeight="1" thickBot="1" x14ac:dyDescent="0.3">
      <c r="B38" s="49">
        <v>1</v>
      </c>
      <c r="C38" s="105" t="s">
        <v>117</v>
      </c>
      <c r="D38" s="106"/>
      <c r="E38" s="106"/>
      <c r="F38" s="106"/>
      <c r="G38" s="106"/>
      <c r="H38" s="106"/>
      <c r="I38" s="106"/>
      <c r="J38" s="106"/>
      <c r="K38" s="106"/>
      <c r="L38" s="106"/>
      <c r="M38" s="107"/>
    </row>
    <row r="39" spans="2:13" ht="40.5" customHeight="1" thickBot="1" x14ac:dyDescent="0.3">
      <c r="B39" s="49">
        <f t="shared" ref="B39:B48" si="0">+B38+1</f>
        <v>2</v>
      </c>
      <c r="C39" s="105" t="s">
        <v>81</v>
      </c>
      <c r="D39" s="106"/>
      <c r="E39" s="106"/>
      <c r="F39" s="106"/>
      <c r="G39" s="106"/>
      <c r="H39" s="106"/>
      <c r="I39" s="106"/>
      <c r="J39" s="106"/>
      <c r="K39" s="106"/>
      <c r="L39" s="106"/>
      <c r="M39" s="107"/>
    </row>
    <row r="40" spans="2:13" ht="15.75" thickBot="1" x14ac:dyDescent="0.3">
      <c r="B40" s="49">
        <f t="shared" si="0"/>
        <v>3</v>
      </c>
      <c r="C40" s="105" t="s">
        <v>60</v>
      </c>
      <c r="D40" s="106"/>
      <c r="E40" s="106"/>
      <c r="F40" s="106"/>
      <c r="G40" s="106"/>
      <c r="H40" s="106"/>
      <c r="I40" s="106"/>
      <c r="J40" s="106"/>
      <c r="K40" s="106"/>
      <c r="L40" s="106"/>
      <c r="M40" s="107"/>
    </row>
    <row r="41" spans="2:13" ht="32.25" customHeight="1" thickBot="1" x14ac:dyDescent="0.3">
      <c r="B41" s="49">
        <f t="shared" si="0"/>
        <v>4</v>
      </c>
      <c r="C41" s="111" t="s">
        <v>37</v>
      </c>
      <c r="D41" s="112"/>
      <c r="E41" s="112"/>
      <c r="F41" s="112"/>
      <c r="G41" s="112"/>
      <c r="H41" s="112"/>
      <c r="I41" s="112"/>
      <c r="J41" s="112"/>
      <c r="K41" s="112"/>
      <c r="L41" s="112"/>
      <c r="M41" s="113"/>
    </row>
    <row r="42" spans="2:13" ht="45" customHeight="1" thickBot="1" x14ac:dyDescent="0.3">
      <c r="B42" s="49">
        <f t="shared" si="0"/>
        <v>5</v>
      </c>
      <c r="C42" s="105" t="s">
        <v>62</v>
      </c>
      <c r="D42" s="106"/>
      <c r="E42" s="106"/>
      <c r="F42" s="106"/>
      <c r="G42" s="106"/>
      <c r="H42" s="106"/>
      <c r="I42" s="106"/>
      <c r="J42" s="106"/>
      <c r="K42" s="106"/>
      <c r="L42" s="106"/>
      <c r="M42" s="107"/>
    </row>
    <row r="43" spans="2:13" ht="15.75" thickBot="1" x14ac:dyDescent="0.3">
      <c r="B43" s="49">
        <f t="shared" si="0"/>
        <v>6</v>
      </c>
      <c r="C43" s="105" t="s">
        <v>51</v>
      </c>
      <c r="D43" s="106"/>
      <c r="E43" s="106"/>
      <c r="F43" s="106"/>
      <c r="G43" s="106"/>
      <c r="H43" s="106"/>
      <c r="I43" s="106"/>
      <c r="J43" s="106"/>
      <c r="K43" s="106"/>
      <c r="L43" s="106"/>
      <c r="M43" s="107"/>
    </row>
    <row r="44" spans="2:13" ht="46.5" customHeight="1" thickBot="1" x14ac:dyDescent="0.3">
      <c r="B44" s="49">
        <f t="shared" si="0"/>
        <v>7</v>
      </c>
      <c r="C44" s="105" t="s">
        <v>83</v>
      </c>
      <c r="D44" s="106"/>
      <c r="E44" s="106"/>
      <c r="F44" s="106"/>
      <c r="G44" s="106"/>
      <c r="H44" s="106"/>
      <c r="I44" s="106"/>
      <c r="J44" s="106"/>
      <c r="K44" s="106"/>
      <c r="L44" s="106"/>
      <c r="M44" s="107"/>
    </row>
    <row r="45" spans="2:13" ht="34.5" customHeight="1" thickBot="1" x14ac:dyDescent="0.3">
      <c r="B45" s="49">
        <f t="shared" si="0"/>
        <v>8</v>
      </c>
      <c r="C45" s="105" t="s">
        <v>84</v>
      </c>
      <c r="D45" s="106"/>
      <c r="E45" s="106"/>
      <c r="F45" s="106"/>
      <c r="G45" s="106"/>
      <c r="H45" s="106"/>
      <c r="I45" s="106"/>
      <c r="J45" s="106"/>
      <c r="K45" s="106"/>
      <c r="L45" s="106"/>
      <c r="M45" s="107"/>
    </row>
    <row r="46" spans="2:13" ht="15.75" thickBot="1" x14ac:dyDescent="0.3">
      <c r="B46" s="49">
        <f t="shared" si="0"/>
        <v>9</v>
      </c>
      <c r="C46" s="105" t="s">
        <v>82</v>
      </c>
      <c r="D46" s="106"/>
      <c r="E46" s="106"/>
      <c r="F46" s="106"/>
      <c r="G46" s="106"/>
      <c r="H46" s="106"/>
      <c r="I46" s="106"/>
      <c r="J46" s="106"/>
      <c r="K46" s="106"/>
      <c r="L46" s="106"/>
      <c r="M46" s="107"/>
    </row>
    <row r="47" spans="2:13" ht="15.75" thickBot="1" x14ac:dyDescent="0.3">
      <c r="B47" s="49">
        <f t="shared" si="0"/>
        <v>10</v>
      </c>
      <c r="C47" s="105" t="s">
        <v>85</v>
      </c>
      <c r="D47" s="106"/>
      <c r="E47" s="106"/>
      <c r="F47" s="106"/>
      <c r="G47" s="106"/>
      <c r="H47" s="106"/>
      <c r="I47" s="106"/>
      <c r="J47" s="106"/>
      <c r="K47" s="106"/>
      <c r="L47" s="106"/>
      <c r="M47" s="107"/>
    </row>
    <row r="48" spans="2:13" ht="15.75" thickBot="1" x14ac:dyDescent="0.3">
      <c r="B48" s="49">
        <f t="shared" si="0"/>
        <v>11</v>
      </c>
      <c r="C48" s="105" t="s">
        <v>64</v>
      </c>
      <c r="D48" s="106"/>
      <c r="E48" s="106"/>
      <c r="F48" s="106"/>
      <c r="G48" s="106"/>
      <c r="H48" s="106"/>
      <c r="I48" s="106"/>
      <c r="J48" s="106"/>
      <c r="K48" s="106"/>
      <c r="L48" s="106"/>
      <c r="M48" s="107"/>
    </row>
    <row r="49" spans="2:13" ht="15.75" thickBot="1" x14ac:dyDescent="0.3">
      <c r="B49" s="49">
        <v>12</v>
      </c>
      <c r="C49" s="92" t="s">
        <v>104</v>
      </c>
      <c r="D49" s="93"/>
      <c r="E49" s="93"/>
      <c r="F49" s="93"/>
      <c r="G49" s="93"/>
      <c r="H49" s="93"/>
      <c r="I49" s="93"/>
      <c r="J49" s="93"/>
      <c r="K49" s="93"/>
      <c r="L49" s="93"/>
      <c r="M49" s="94"/>
    </row>
  </sheetData>
  <sheetProtection algorithmName="SHA-512" hashValue="43LEf3egjyKNVtvyxXbBzF/Mc0qP1Fvi2bBmXMSQfg8yJVrL+I41h3vBD5MAftmuQLMwqe/TK4kVVFESsGV/fQ==" saltValue="lwUFRlJ9Vq7HUzpV5Daapg==" spinCount="100000" sheet="1" formatCells="0" formatColumns="0" formatRows="0" insertColumns="0" insertRows="0" insertHyperlinks="0" deleteColumns="0" deleteRows="0" sort="0" autoFilter="0" pivotTables="0"/>
  <mergeCells count="75">
    <mergeCell ref="F29:G29"/>
    <mergeCell ref="H29:I29"/>
    <mergeCell ref="J29:K29"/>
    <mergeCell ref="C49:M49"/>
    <mergeCell ref="C48:M48"/>
    <mergeCell ref="C37:M37"/>
    <mergeCell ref="C43:M43"/>
    <mergeCell ref="C44:M44"/>
    <mergeCell ref="C45:M45"/>
    <mergeCell ref="C46:M46"/>
    <mergeCell ref="C47:M47"/>
    <mergeCell ref="C38:M38"/>
    <mergeCell ref="C39:M39"/>
    <mergeCell ref="C40:M40"/>
    <mergeCell ref="C41:M41"/>
    <mergeCell ref="C42:M42"/>
    <mergeCell ref="F34:G34"/>
    <mergeCell ref="H34:I34"/>
    <mergeCell ref="J34:K34"/>
    <mergeCell ref="F31:G31"/>
    <mergeCell ref="H31:I31"/>
    <mergeCell ref="J31:K31"/>
    <mergeCell ref="F32:G32"/>
    <mergeCell ref="H32:I32"/>
    <mergeCell ref="J32:K32"/>
    <mergeCell ref="C27:K27"/>
    <mergeCell ref="F28:G28"/>
    <mergeCell ref="H28:I28"/>
    <mergeCell ref="F24:G24"/>
    <mergeCell ref="H24:I24"/>
    <mergeCell ref="J24:K24"/>
    <mergeCell ref="F25:G25"/>
    <mergeCell ref="H25:I25"/>
    <mergeCell ref="J25:K25"/>
    <mergeCell ref="F26:G26"/>
    <mergeCell ref="H26:I26"/>
    <mergeCell ref="J26:K26"/>
    <mergeCell ref="J28:K28"/>
    <mergeCell ref="C22:K22"/>
    <mergeCell ref="F23:G23"/>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J16:K16"/>
    <mergeCell ref="C10:E11"/>
    <mergeCell ref="F10:G10"/>
    <mergeCell ref="H10:I10"/>
    <mergeCell ref="J10:K10"/>
    <mergeCell ref="F35:G35"/>
    <mergeCell ref="H35:I35"/>
    <mergeCell ref="J35:K35"/>
    <mergeCell ref="F12:G12"/>
    <mergeCell ref="H12:I12"/>
    <mergeCell ref="J12:K12"/>
    <mergeCell ref="C17:K17"/>
    <mergeCell ref="F13:G13"/>
    <mergeCell ref="H13:I13"/>
    <mergeCell ref="J13:K13"/>
    <mergeCell ref="F14:G14"/>
    <mergeCell ref="H14:I14"/>
    <mergeCell ref="J14:K14"/>
    <mergeCell ref="C15:K15"/>
    <mergeCell ref="F16:G16"/>
    <mergeCell ref="H16:I16"/>
  </mergeCells>
  <printOptions horizontalCentered="1"/>
  <pageMargins left="0.7" right="0.7" top="0.75" bottom="0.75" header="0.3" footer="0.3"/>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Z985"/>
  <sheetViews>
    <sheetView showGridLines="0" zoomScale="85" zoomScaleNormal="85" workbookViewId="0">
      <selection activeCell="H26" sqref="H26:I26"/>
    </sheetView>
  </sheetViews>
  <sheetFormatPr defaultColWidth="14.42578125" defaultRowHeight="15" customHeight="1" x14ac:dyDescent="0.25"/>
  <cols>
    <col min="2" max="2" width="4.140625" customWidth="1"/>
    <col min="3" max="3" width="48" customWidth="1"/>
    <col min="4" max="4" width="8" customWidth="1"/>
    <col min="5" max="5" width="14.7109375" customWidth="1"/>
    <col min="6" max="6" width="12.85546875" customWidth="1"/>
    <col min="7" max="7" width="5.7109375" bestFit="1" customWidth="1"/>
    <col min="8" max="8" width="14.7109375" customWidth="1"/>
    <col min="9" max="9" width="6.140625" customWidth="1"/>
    <col min="10" max="10" width="13.7109375" customWidth="1"/>
    <col min="11" max="11" width="6.140625" customWidth="1"/>
    <col min="12" max="12" width="13.7109375" customWidth="1"/>
    <col min="13" max="13" width="6.140625" customWidth="1"/>
    <col min="14" max="14" width="13" customWidth="1"/>
    <col min="15" max="15" width="6.140625" customWidth="1"/>
    <col min="16" max="16" width="14.7109375" customWidth="1"/>
    <col min="17" max="17" width="11" customWidth="1"/>
    <col min="18" max="18" width="10.7109375" bestFit="1" customWidth="1"/>
    <col min="19" max="19" width="10.42578125" customWidth="1"/>
    <col min="20" max="20" width="8.85546875" customWidth="1"/>
    <col min="21" max="21" width="20.140625" customWidth="1"/>
    <col min="22" max="22" width="8.140625" bestFit="1" customWidth="1"/>
    <col min="23" max="26" width="8.85546875" customWidth="1"/>
  </cols>
  <sheetData>
    <row r="1" spans="2:26" ht="15" customHeight="1" thickBot="1" x14ac:dyDescent="0.3"/>
    <row r="2" spans="2:26" ht="30" x14ac:dyDescent="0.25">
      <c r="B2" s="53"/>
      <c r="C2" s="54"/>
      <c r="D2" s="54"/>
      <c r="E2" s="55" t="s">
        <v>95</v>
      </c>
      <c r="F2" s="56"/>
      <c r="G2" s="56"/>
      <c r="H2" s="56"/>
      <c r="I2" s="56"/>
      <c r="J2" s="56"/>
      <c r="K2" s="56"/>
      <c r="L2" s="56"/>
      <c r="M2" s="56"/>
      <c r="N2" s="56"/>
      <c r="O2" s="57"/>
    </row>
    <row r="3" spans="2:26" x14ac:dyDescent="0.25">
      <c r="B3" s="58"/>
      <c r="C3" s="23" t="s">
        <v>0</v>
      </c>
      <c r="D3" s="24"/>
      <c r="E3" s="23"/>
      <c r="F3" s="14"/>
      <c r="G3" s="14"/>
      <c r="H3" s="14"/>
      <c r="I3" s="14"/>
      <c r="J3" s="14"/>
      <c r="K3" s="14"/>
      <c r="L3" s="14"/>
      <c r="M3" s="14"/>
      <c r="N3" s="14"/>
      <c r="O3" s="59"/>
    </row>
    <row r="4" spans="2:26" x14ac:dyDescent="0.25">
      <c r="B4" s="58"/>
      <c r="C4" s="18" t="s">
        <v>2</v>
      </c>
      <c r="D4" s="19" t="s">
        <v>15</v>
      </c>
      <c r="E4" s="28">
        <v>5000000</v>
      </c>
      <c r="F4" s="14"/>
      <c r="G4" s="14"/>
      <c r="H4" s="14"/>
      <c r="I4" s="14"/>
      <c r="J4" s="14"/>
      <c r="K4" s="14"/>
      <c r="L4" s="14"/>
      <c r="M4" s="14"/>
      <c r="N4" s="14"/>
      <c r="O4" s="59"/>
    </row>
    <row r="5" spans="2:26" x14ac:dyDescent="0.25">
      <c r="B5" s="58"/>
      <c r="C5" s="18" t="s">
        <v>1</v>
      </c>
      <c r="D5" s="19" t="s">
        <v>16</v>
      </c>
      <c r="E5" s="29">
        <v>1.4999999999999999E-2</v>
      </c>
      <c r="F5" s="14"/>
      <c r="G5" s="14"/>
      <c r="H5" s="14"/>
      <c r="I5" s="14"/>
      <c r="J5" s="14"/>
      <c r="K5" s="14"/>
      <c r="L5" s="14"/>
      <c r="M5" s="14"/>
      <c r="N5" s="14"/>
      <c r="O5" s="59"/>
    </row>
    <row r="6" spans="2:26" x14ac:dyDescent="0.25">
      <c r="B6" s="58"/>
      <c r="C6" s="18" t="s">
        <v>6</v>
      </c>
      <c r="D6" s="19" t="s">
        <v>17</v>
      </c>
      <c r="E6" s="29">
        <v>5.0000000000000001E-3</v>
      </c>
      <c r="F6" s="14"/>
      <c r="G6" s="14"/>
      <c r="H6" s="14"/>
      <c r="I6" s="14"/>
      <c r="J6" s="14"/>
      <c r="K6" s="14"/>
      <c r="L6" s="14"/>
      <c r="M6" s="14"/>
      <c r="N6" s="14"/>
      <c r="O6" s="59"/>
    </row>
    <row r="7" spans="2:26" x14ac:dyDescent="0.25">
      <c r="B7" s="58"/>
      <c r="C7" s="18" t="s">
        <v>39</v>
      </c>
      <c r="D7" s="19" t="s">
        <v>41</v>
      </c>
      <c r="E7" s="29">
        <v>0.14000000000000001</v>
      </c>
      <c r="F7" s="14"/>
      <c r="G7" s="14"/>
      <c r="H7" s="14"/>
      <c r="I7" s="14"/>
      <c r="J7" s="14"/>
      <c r="K7" s="14"/>
      <c r="L7" s="14"/>
      <c r="M7" s="14"/>
      <c r="N7" s="14"/>
      <c r="O7" s="59"/>
    </row>
    <row r="8" spans="2:26" x14ac:dyDescent="0.25">
      <c r="B8" s="58"/>
      <c r="C8" s="18" t="s">
        <v>40</v>
      </c>
      <c r="D8" s="19" t="s">
        <v>42</v>
      </c>
      <c r="E8" s="29">
        <v>0.14000000000000001</v>
      </c>
      <c r="F8" s="14"/>
      <c r="G8" s="14"/>
      <c r="H8" s="14"/>
      <c r="I8" s="14"/>
      <c r="J8" s="14"/>
      <c r="K8" s="14"/>
      <c r="L8" s="14"/>
      <c r="M8" s="14"/>
      <c r="N8" s="14"/>
      <c r="O8" s="59"/>
    </row>
    <row r="9" spans="2:26" x14ac:dyDescent="0.25">
      <c r="B9" s="58"/>
      <c r="C9" s="18" t="s">
        <v>56</v>
      </c>
      <c r="D9" s="19" t="s">
        <v>65</v>
      </c>
      <c r="E9" s="29">
        <v>2E-3</v>
      </c>
      <c r="F9" s="14"/>
      <c r="G9" s="14"/>
      <c r="H9" s="14"/>
      <c r="I9" s="14"/>
      <c r="J9" s="14"/>
      <c r="K9" s="14"/>
      <c r="L9" s="14"/>
      <c r="M9" s="14"/>
      <c r="N9" s="14"/>
      <c r="O9" s="60"/>
      <c r="P9" s="14"/>
    </row>
    <row r="10" spans="2:26" ht="15.75" thickBot="1" x14ac:dyDescent="0.3">
      <c r="B10" s="58"/>
      <c r="C10" s="15"/>
      <c r="D10" s="16"/>
      <c r="E10" s="15"/>
      <c r="F10" s="17"/>
      <c r="G10" s="14"/>
      <c r="H10" s="14"/>
      <c r="I10" s="14"/>
      <c r="J10" s="14"/>
      <c r="K10" s="14"/>
      <c r="L10" s="14"/>
      <c r="M10" s="14"/>
      <c r="N10" s="14"/>
      <c r="O10" s="60"/>
      <c r="P10" s="14"/>
      <c r="Q10" s="14"/>
      <c r="R10" s="14"/>
      <c r="S10" s="14"/>
      <c r="T10" s="14"/>
      <c r="U10" s="14"/>
      <c r="V10" s="14"/>
      <c r="W10" s="14"/>
      <c r="X10" s="14"/>
      <c r="Y10" s="14"/>
      <c r="Z10" s="14"/>
    </row>
    <row r="11" spans="2:26" ht="15.75" thickBot="1" x14ac:dyDescent="0.3">
      <c r="B11" s="58"/>
      <c r="C11" s="114" t="s">
        <v>108</v>
      </c>
      <c r="D11" s="115"/>
      <c r="E11" s="116"/>
      <c r="F11" s="117" t="s">
        <v>94</v>
      </c>
      <c r="G11" s="118"/>
      <c r="H11" s="117" t="s">
        <v>93</v>
      </c>
      <c r="I11" s="118"/>
      <c r="J11" s="117" t="s">
        <v>92</v>
      </c>
      <c r="K11" s="118"/>
      <c r="L11" s="117" t="s">
        <v>91</v>
      </c>
      <c r="M11" s="118"/>
      <c r="N11" s="117" t="s">
        <v>90</v>
      </c>
      <c r="O11" s="118"/>
      <c r="P11" s="14"/>
      <c r="Q11" s="14"/>
      <c r="R11" s="14"/>
      <c r="S11" s="14"/>
      <c r="T11" s="14"/>
      <c r="U11" s="14"/>
      <c r="V11" s="14"/>
      <c r="W11" s="14"/>
      <c r="X11" s="14"/>
      <c r="Y11" s="14"/>
      <c r="Z11" s="14"/>
    </row>
    <row r="12" spans="2:26" ht="15.75" thickBot="1" x14ac:dyDescent="0.3">
      <c r="B12" s="58"/>
      <c r="C12" s="115"/>
      <c r="D12" s="115"/>
      <c r="E12" s="116"/>
      <c r="F12" s="70" t="s">
        <v>89</v>
      </c>
      <c r="G12" s="71">
        <v>-0.26</v>
      </c>
      <c r="H12" s="72" t="s">
        <v>89</v>
      </c>
      <c r="I12" s="73">
        <v>0.79</v>
      </c>
      <c r="J12" s="72" t="s">
        <v>89</v>
      </c>
      <c r="K12" s="73">
        <v>0.22</v>
      </c>
      <c r="L12" s="72" t="s">
        <v>89</v>
      </c>
      <c r="M12" s="73">
        <v>0</v>
      </c>
      <c r="N12" s="72" t="s">
        <v>89</v>
      </c>
      <c r="O12" s="74">
        <v>0.4</v>
      </c>
      <c r="P12" s="14"/>
      <c r="Q12" s="14"/>
      <c r="R12" s="14"/>
      <c r="S12" s="14"/>
      <c r="T12" s="14"/>
      <c r="U12" s="14"/>
      <c r="V12" s="14"/>
      <c r="W12" s="14"/>
      <c r="X12" s="14"/>
      <c r="Y12" s="14"/>
      <c r="Z12" s="14"/>
    </row>
    <row r="13" spans="2:26" x14ac:dyDescent="0.25">
      <c r="B13" s="58"/>
      <c r="C13" s="18" t="s">
        <v>107</v>
      </c>
      <c r="D13" s="19" t="s">
        <v>19</v>
      </c>
      <c r="E13" s="22"/>
      <c r="F13" s="119">
        <f>E4</f>
        <v>5000000</v>
      </c>
      <c r="G13" s="120"/>
      <c r="H13" s="119">
        <f>F33</f>
        <v>3604300</v>
      </c>
      <c r="I13" s="120"/>
      <c r="J13" s="119">
        <f>H33</f>
        <v>6341081.0329999998</v>
      </c>
      <c r="K13" s="120"/>
      <c r="L13" s="119">
        <f t="shared" ref="L13" si="0">J33</f>
        <v>7556972.7088333601</v>
      </c>
      <c r="M13" s="120"/>
      <c r="N13" s="119">
        <f t="shared" ref="N13" si="1">L33</f>
        <v>7390719.3092390262</v>
      </c>
      <c r="O13" s="122"/>
      <c r="P13" s="14"/>
      <c r="Q13" s="14"/>
      <c r="R13" s="14"/>
      <c r="S13" s="14"/>
      <c r="T13" s="14"/>
      <c r="U13" s="14"/>
      <c r="V13" s="14"/>
      <c r="W13" s="14"/>
      <c r="X13" s="14"/>
      <c r="Y13" s="14"/>
      <c r="Z13" s="14"/>
    </row>
    <row r="14" spans="2:26" x14ac:dyDescent="0.25">
      <c r="B14" s="58"/>
      <c r="C14" s="18" t="s">
        <v>33</v>
      </c>
      <c r="D14" s="19" t="s">
        <v>20</v>
      </c>
      <c r="E14" s="22"/>
      <c r="F14" s="121">
        <f>F13*G12</f>
        <v>-1300000</v>
      </c>
      <c r="G14" s="115"/>
      <c r="H14" s="121">
        <f t="shared" ref="H14" si="2">H13*I12</f>
        <v>2847397</v>
      </c>
      <c r="I14" s="115"/>
      <c r="J14" s="121">
        <f t="shared" ref="J14" si="3">J13*K12</f>
        <v>1395037.8272599999</v>
      </c>
      <c r="K14" s="115"/>
      <c r="L14" s="121">
        <f t="shared" ref="L14" si="4">L13*M12</f>
        <v>0</v>
      </c>
      <c r="M14" s="115"/>
      <c r="N14" s="121">
        <f t="shared" ref="N14" si="5">N13*O12</f>
        <v>2956287.7236956106</v>
      </c>
      <c r="O14" s="123"/>
      <c r="P14" s="14"/>
      <c r="Q14" s="14"/>
      <c r="R14" s="14"/>
      <c r="S14" s="14"/>
      <c r="T14" s="14"/>
      <c r="U14" s="14"/>
      <c r="V14" s="14"/>
      <c r="W14" s="14"/>
      <c r="X14" s="14"/>
      <c r="Y14" s="14"/>
      <c r="Z14" s="14"/>
    </row>
    <row r="15" spans="2:26" x14ac:dyDescent="0.25">
      <c r="B15" s="58"/>
      <c r="C15" s="18" t="s">
        <v>7</v>
      </c>
      <c r="D15" s="19" t="s">
        <v>21</v>
      </c>
      <c r="E15" s="22"/>
      <c r="F15" s="121">
        <f>SUM(F13:G14)</f>
        <v>3700000</v>
      </c>
      <c r="G15" s="115"/>
      <c r="H15" s="121">
        <f t="shared" ref="H15" si="6">SUM(H13:I14)</f>
        <v>6451697</v>
      </c>
      <c r="I15" s="115"/>
      <c r="J15" s="121">
        <f t="shared" ref="J15" si="7">SUM(J13:K14)</f>
        <v>7736118.8602599995</v>
      </c>
      <c r="K15" s="115"/>
      <c r="L15" s="121">
        <f t="shared" ref="L15" si="8">SUM(L13:M14)</f>
        <v>7556972.7088333601</v>
      </c>
      <c r="M15" s="115"/>
      <c r="N15" s="121">
        <f t="shared" ref="N15" si="9">SUM(N13:O14)</f>
        <v>10347007.032934636</v>
      </c>
      <c r="O15" s="123"/>
      <c r="P15" s="14"/>
      <c r="Q15" s="14"/>
      <c r="R15" s="14"/>
      <c r="S15" s="14"/>
      <c r="T15" s="14"/>
      <c r="U15" s="14"/>
      <c r="V15" s="14"/>
      <c r="W15" s="14"/>
      <c r="X15" s="14"/>
      <c r="Y15" s="14"/>
      <c r="Z15" s="14"/>
    </row>
    <row r="16" spans="2:26" x14ac:dyDescent="0.25">
      <c r="B16" s="58"/>
      <c r="C16" s="126"/>
      <c r="D16" s="115"/>
      <c r="E16" s="115"/>
      <c r="F16" s="115"/>
      <c r="G16" s="115"/>
      <c r="H16" s="115"/>
      <c r="I16" s="115"/>
      <c r="J16" s="115"/>
      <c r="K16" s="115"/>
      <c r="L16" s="115"/>
      <c r="M16" s="115"/>
      <c r="N16" s="115"/>
      <c r="O16" s="123"/>
      <c r="P16" s="14"/>
      <c r="Q16" s="14"/>
      <c r="R16" s="14"/>
      <c r="S16" s="14"/>
      <c r="T16" s="14"/>
      <c r="U16" s="14"/>
      <c r="V16" s="14"/>
      <c r="W16" s="14"/>
      <c r="X16" s="14"/>
      <c r="Y16" s="14"/>
      <c r="Z16" s="14"/>
    </row>
    <row r="17" spans="2:26" x14ac:dyDescent="0.25">
      <c r="B17" s="58"/>
      <c r="C17" s="18" t="s">
        <v>18</v>
      </c>
      <c r="D17" s="19" t="s">
        <v>22</v>
      </c>
      <c r="E17" s="22"/>
      <c r="F17" s="121">
        <f>SUM(F13,F15)/2</f>
        <v>4350000</v>
      </c>
      <c r="G17" s="124"/>
      <c r="H17" s="121">
        <f t="shared" ref="H17" si="10">SUM(H13,H15)/2</f>
        <v>5027998.5</v>
      </c>
      <c r="I17" s="124"/>
      <c r="J17" s="121">
        <f t="shared" ref="J17" si="11">SUM(J13,J15)/2</f>
        <v>7038599.9466299992</v>
      </c>
      <c r="K17" s="124"/>
      <c r="L17" s="121">
        <f t="shared" ref="L17" si="12">SUM(L13,L15)/2</f>
        <v>7556972.7088333601</v>
      </c>
      <c r="M17" s="124"/>
      <c r="N17" s="121">
        <f t="shared" ref="N17" si="13">SUM(N13,N15)/2</f>
        <v>8868863.171086831</v>
      </c>
      <c r="O17" s="125"/>
      <c r="P17" s="14"/>
      <c r="Q17" s="14"/>
      <c r="R17" s="14"/>
      <c r="S17" s="14"/>
      <c r="T17" s="14"/>
      <c r="U17" s="14"/>
      <c r="V17" s="14"/>
      <c r="W17" s="14"/>
      <c r="X17" s="14"/>
      <c r="Y17" s="14"/>
      <c r="Z17" s="14"/>
    </row>
    <row r="18" spans="2:26" x14ac:dyDescent="0.25">
      <c r="B18" s="58"/>
      <c r="C18" s="126"/>
      <c r="D18" s="115"/>
      <c r="E18" s="115"/>
      <c r="F18" s="115"/>
      <c r="G18" s="115"/>
      <c r="H18" s="115"/>
      <c r="I18" s="115"/>
      <c r="J18" s="115"/>
      <c r="K18" s="115"/>
      <c r="L18" s="127"/>
      <c r="M18" s="128"/>
      <c r="N18" s="127"/>
      <c r="O18" s="129"/>
      <c r="P18" s="14"/>
      <c r="Q18" s="14"/>
      <c r="R18" s="14"/>
      <c r="S18" s="14"/>
      <c r="T18" s="14"/>
      <c r="U18" s="14"/>
      <c r="V18" s="14"/>
      <c r="W18" s="14"/>
      <c r="X18" s="14"/>
      <c r="Y18" s="14"/>
      <c r="Z18" s="14"/>
    </row>
    <row r="19" spans="2:26" x14ac:dyDescent="0.25">
      <c r="B19" s="58"/>
      <c r="C19" s="18" t="s">
        <v>34</v>
      </c>
      <c r="D19" s="19" t="s">
        <v>23</v>
      </c>
      <c r="E19" s="22"/>
      <c r="F19" s="121">
        <f>F17*-$E$6</f>
        <v>-21750</v>
      </c>
      <c r="G19" s="115"/>
      <c r="H19" s="121">
        <f t="shared" ref="H19" si="14">H17*-$E$6</f>
        <v>-25139.9925</v>
      </c>
      <c r="I19" s="115"/>
      <c r="J19" s="121">
        <f t="shared" ref="J19" si="15">J17*-$E$6</f>
        <v>-35192.999733149998</v>
      </c>
      <c r="K19" s="115"/>
      <c r="L19" s="121">
        <f t="shared" ref="L19" si="16">L17*-$E$6</f>
        <v>-37784.863544166801</v>
      </c>
      <c r="M19" s="115"/>
      <c r="N19" s="121">
        <f t="shared" ref="N19" si="17">N17*-$E$6</f>
        <v>-44344.315855434157</v>
      </c>
      <c r="O19" s="123"/>
      <c r="P19" s="14"/>
      <c r="Q19" s="14"/>
      <c r="R19" s="14"/>
      <c r="S19" s="14"/>
      <c r="T19" s="14"/>
      <c r="U19" s="14"/>
      <c r="V19" s="14"/>
      <c r="W19" s="14"/>
      <c r="X19" s="14"/>
      <c r="Y19" s="14"/>
      <c r="Z19" s="14"/>
    </row>
    <row r="20" spans="2:26" x14ac:dyDescent="0.25">
      <c r="B20" s="58"/>
      <c r="C20" s="18" t="s">
        <v>56</v>
      </c>
      <c r="D20" s="19" t="s">
        <v>24</v>
      </c>
      <c r="E20" s="22"/>
      <c r="F20" s="121">
        <f>F17*-$E$9</f>
        <v>-8700</v>
      </c>
      <c r="G20" s="115"/>
      <c r="H20" s="121">
        <f t="shared" ref="H20" si="18">H17*-$E$9</f>
        <v>-10055.996999999999</v>
      </c>
      <c r="I20" s="115"/>
      <c r="J20" s="121">
        <f t="shared" ref="J20" si="19">J17*-$E$9</f>
        <v>-14077.199893259998</v>
      </c>
      <c r="K20" s="115"/>
      <c r="L20" s="121">
        <f t="shared" ref="L20" si="20">L17*-$E$9</f>
        <v>-15113.94541766672</v>
      </c>
      <c r="M20" s="115"/>
      <c r="N20" s="121">
        <f t="shared" ref="N20" si="21">N17*-$E$9</f>
        <v>-17737.726342173661</v>
      </c>
      <c r="O20" s="123"/>
      <c r="P20" s="14"/>
      <c r="Q20" s="14"/>
      <c r="R20" s="14"/>
      <c r="S20" s="14"/>
      <c r="T20" s="14"/>
      <c r="U20" s="14"/>
      <c r="V20" s="14"/>
      <c r="W20" s="14"/>
      <c r="X20" s="14"/>
      <c r="Y20" s="14"/>
      <c r="Z20" s="14"/>
    </row>
    <row r="21" spans="2:26" x14ac:dyDescent="0.25">
      <c r="B21" s="58"/>
      <c r="C21" s="18" t="s">
        <v>35</v>
      </c>
      <c r="D21" s="19" t="s">
        <v>25</v>
      </c>
      <c r="E21" s="18"/>
      <c r="F21" s="121">
        <f>F17*-$E$5</f>
        <v>-65250</v>
      </c>
      <c r="G21" s="115"/>
      <c r="H21" s="121">
        <f t="shared" ref="H21" si="22">H17*-$E$5</f>
        <v>-75419.977499999994</v>
      </c>
      <c r="I21" s="115"/>
      <c r="J21" s="121">
        <f t="shared" ref="J21" si="23">J17*-$E$5</f>
        <v>-105578.99919944999</v>
      </c>
      <c r="K21" s="115"/>
      <c r="L21" s="121">
        <f t="shared" ref="L21" si="24">L17*-$E$5</f>
        <v>-113354.5906325004</v>
      </c>
      <c r="M21" s="115"/>
      <c r="N21" s="121">
        <f t="shared" ref="N21" si="25">N17*-$E$5</f>
        <v>-133032.94756630246</v>
      </c>
      <c r="O21" s="123"/>
      <c r="P21" s="20"/>
      <c r="Q21" s="14"/>
      <c r="R21" s="14"/>
      <c r="S21" s="14"/>
      <c r="T21" s="14"/>
      <c r="U21" s="14"/>
      <c r="V21" s="14"/>
      <c r="W21" s="14"/>
      <c r="X21" s="14"/>
      <c r="Y21" s="14"/>
      <c r="Z21" s="14"/>
    </row>
    <row r="22" spans="2:26" ht="15.75" customHeight="1" x14ac:dyDescent="0.25">
      <c r="B22" s="58"/>
      <c r="C22" s="18" t="s">
        <v>109</v>
      </c>
      <c r="D22" s="19" t="s">
        <v>26</v>
      </c>
      <c r="E22" s="18"/>
      <c r="F22" s="121">
        <f>SUM(F19:G21)</f>
        <v>-95700</v>
      </c>
      <c r="G22" s="115"/>
      <c r="H22" s="121">
        <f t="shared" ref="H22" si="26">SUM(H19:I21)</f>
        <v>-110615.96699999999</v>
      </c>
      <c r="I22" s="115"/>
      <c r="J22" s="121">
        <f t="shared" ref="J22" si="27">SUM(J19:K21)</f>
        <v>-154849.19882585999</v>
      </c>
      <c r="K22" s="115"/>
      <c r="L22" s="121">
        <f t="shared" ref="L22" si="28">SUM(L19:M21)</f>
        <v>-166253.39959433393</v>
      </c>
      <c r="M22" s="115"/>
      <c r="N22" s="121">
        <f t="shared" ref="N22" si="29">SUM(N19:O21)</f>
        <v>-195114.9897639103</v>
      </c>
      <c r="O22" s="123"/>
      <c r="P22" s="14"/>
      <c r="Q22" s="14"/>
      <c r="R22" s="14"/>
      <c r="S22" s="14"/>
      <c r="T22" s="14"/>
      <c r="U22" s="14"/>
      <c r="V22" s="14"/>
      <c r="W22" s="14"/>
      <c r="X22" s="14"/>
      <c r="Y22" s="14"/>
      <c r="Z22" s="14"/>
    </row>
    <row r="23" spans="2:26" ht="15.75" customHeight="1" x14ac:dyDescent="0.25">
      <c r="B23" s="58"/>
      <c r="C23" s="126"/>
      <c r="D23" s="115"/>
      <c r="E23" s="115"/>
      <c r="F23" s="115"/>
      <c r="G23" s="115"/>
      <c r="H23" s="115"/>
      <c r="I23" s="115"/>
      <c r="J23" s="115"/>
      <c r="K23" s="115"/>
      <c r="L23" s="115"/>
      <c r="M23" s="115"/>
      <c r="N23" s="115"/>
      <c r="O23" s="123"/>
      <c r="P23" s="14"/>
      <c r="Q23" s="14"/>
      <c r="R23" s="14"/>
      <c r="S23" s="14"/>
      <c r="T23" s="14"/>
      <c r="U23" s="14"/>
      <c r="V23" s="14"/>
      <c r="W23" s="14"/>
      <c r="X23" s="14"/>
      <c r="Y23" s="14"/>
      <c r="Z23" s="14"/>
    </row>
    <row r="24" spans="2:26" ht="27.75" customHeight="1" x14ac:dyDescent="0.25">
      <c r="B24" s="58"/>
      <c r="C24" s="18" t="s">
        <v>110</v>
      </c>
      <c r="D24" s="19" t="s">
        <v>27</v>
      </c>
      <c r="E24" s="18"/>
      <c r="F24" s="121">
        <f>F15+F22</f>
        <v>3604300</v>
      </c>
      <c r="G24" s="115"/>
      <c r="H24" s="121">
        <f>H15+H22</f>
        <v>6341081.0329999998</v>
      </c>
      <c r="I24" s="115"/>
      <c r="J24" s="121">
        <f t="shared" ref="J24" si="30">J15+J22</f>
        <v>7581269.6614341391</v>
      </c>
      <c r="K24" s="115"/>
      <c r="L24" s="121">
        <f t="shared" ref="L24" si="31">L15+L22</f>
        <v>7390719.3092390262</v>
      </c>
      <c r="M24" s="115"/>
      <c r="N24" s="121">
        <f t="shared" ref="N24" si="32">N15+N22</f>
        <v>10151892.043170726</v>
      </c>
      <c r="O24" s="123"/>
      <c r="P24" s="14"/>
      <c r="Q24" s="27"/>
      <c r="R24" s="27"/>
      <c r="S24" s="26"/>
      <c r="T24" s="14"/>
      <c r="U24" s="14"/>
      <c r="V24" s="14"/>
      <c r="W24" s="14"/>
      <c r="X24" s="14"/>
      <c r="Y24" s="14"/>
      <c r="Z24" s="14"/>
    </row>
    <row r="25" spans="2:26" ht="15.75" customHeight="1" x14ac:dyDescent="0.25">
      <c r="B25" s="58"/>
      <c r="C25" s="18" t="s">
        <v>101</v>
      </c>
      <c r="D25" s="19" t="s">
        <v>28</v>
      </c>
      <c r="E25" s="18"/>
      <c r="F25" s="121">
        <f>F13</f>
        <v>5000000</v>
      </c>
      <c r="G25" s="115"/>
      <c r="H25" s="121">
        <f>F36</f>
        <v>5000000</v>
      </c>
      <c r="I25" s="115"/>
      <c r="J25" s="121">
        <f t="shared" ref="J25" si="33">H36</f>
        <v>5000000</v>
      </c>
      <c r="K25" s="115"/>
      <c r="L25" s="121">
        <f t="shared" ref="L25" si="34">J36</f>
        <v>7581269.6614341391</v>
      </c>
      <c r="M25" s="115"/>
      <c r="N25" s="121">
        <f t="shared" ref="N25" si="35">L36</f>
        <v>7556972.7088333601</v>
      </c>
      <c r="O25" s="123"/>
      <c r="P25" s="14"/>
      <c r="Q25" s="14"/>
      <c r="R25" s="14"/>
      <c r="S25" s="14"/>
      <c r="T25" s="14"/>
      <c r="U25" s="14"/>
      <c r="V25" s="14"/>
      <c r="W25" s="14"/>
      <c r="X25" s="14"/>
      <c r="Y25" s="14"/>
      <c r="Z25" s="14"/>
    </row>
    <row r="26" spans="2:26" ht="15.75" customHeight="1" x14ac:dyDescent="0.25">
      <c r="B26" s="58"/>
      <c r="C26" s="21" t="s">
        <v>105</v>
      </c>
      <c r="D26" s="19" t="s">
        <v>45</v>
      </c>
      <c r="E26" s="21"/>
      <c r="F26" s="121">
        <f>F25*$E$8</f>
        <v>700000.00000000012</v>
      </c>
      <c r="G26" s="115"/>
      <c r="H26" s="121">
        <f>(H25*(1+$E$8)^2)-H25</f>
        <v>1498000.0000000019</v>
      </c>
      <c r="I26" s="115"/>
      <c r="J26" s="138">
        <f>(J25*(1+$E$8)^3)-J25</f>
        <v>2407720.0000000019</v>
      </c>
      <c r="K26" s="139"/>
      <c r="L26" s="121">
        <f>L25*$E$8</f>
        <v>1061377.7526007795</v>
      </c>
      <c r="M26" s="115"/>
      <c r="N26" s="121">
        <f t="shared" ref="N26" si="36">(N25*(1+$E$8)^2)-N25</f>
        <v>2264069.0235664779</v>
      </c>
      <c r="O26" s="123"/>
      <c r="P26" s="14"/>
      <c r="Q26" s="25"/>
      <c r="R26" s="14"/>
      <c r="S26" s="14"/>
      <c r="T26" s="14"/>
      <c r="U26" s="14"/>
      <c r="V26" s="14"/>
      <c r="W26" s="14"/>
      <c r="X26" s="14"/>
      <c r="Y26" s="14"/>
      <c r="Z26" s="14"/>
    </row>
    <row r="27" spans="2:26" ht="15.75" customHeight="1" x14ac:dyDescent="0.25">
      <c r="B27" s="58"/>
      <c r="C27" s="21"/>
      <c r="D27" s="19"/>
      <c r="E27" s="21"/>
      <c r="F27" s="121"/>
      <c r="G27" s="115"/>
      <c r="H27" s="127"/>
      <c r="I27" s="128"/>
      <c r="J27" s="127"/>
      <c r="K27" s="128"/>
      <c r="L27" s="127"/>
      <c r="M27" s="128"/>
      <c r="N27" s="127"/>
      <c r="O27" s="129"/>
      <c r="P27" s="14"/>
      <c r="Q27" s="14"/>
      <c r="R27" s="14"/>
      <c r="S27" s="14"/>
      <c r="T27" s="14"/>
      <c r="U27" s="14"/>
      <c r="V27" s="14"/>
      <c r="W27" s="14"/>
      <c r="X27" s="14"/>
      <c r="Y27" s="14"/>
      <c r="Z27" s="14"/>
    </row>
    <row r="28" spans="2:26" ht="15.75" customHeight="1" x14ac:dyDescent="0.25">
      <c r="B28" s="58"/>
      <c r="C28" s="18" t="s">
        <v>106</v>
      </c>
      <c r="D28" s="19" t="s">
        <v>46</v>
      </c>
      <c r="E28" s="18"/>
      <c r="F28" s="121">
        <f>F24-F25-F26</f>
        <v>-2095700</v>
      </c>
      <c r="G28" s="124"/>
      <c r="H28" s="121">
        <f>H24-H25-H26</f>
        <v>-156918.96700000204</v>
      </c>
      <c r="I28" s="124"/>
      <c r="J28" s="121">
        <f t="shared" ref="J28" si="37">J24-J25-J26</f>
        <v>173549.66143413726</v>
      </c>
      <c r="K28" s="124"/>
      <c r="L28" s="121">
        <f t="shared" ref="L28" si="38">L24-L25-L26</f>
        <v>-1251928.1047958925</v>
      </c>
      <c r="M28" s="124"/>
      <c r="N28" s="121">
        <f t="shared" ref="N28" si="39">N24-N25-N26</f>
        <v>330850.31077088788</v>
      </c>
      <c r="O28" s="125"/>
      <c r="P28" s="14"/>
      <c r="Q28" s="14"/>
      <c r="R28" s="14"/>
      <c r="S28" s="14"/>
      <c r="T28" s="14"/>
      <c r="U28" s="14"/>
      <c r="V28" s="14"/>
      <c r="W28" s="14"/>
      <c r="X28" s="14"/>
      <c r="Y28" s="14"/>
      <c r="Z28" s="14"/>
    </row>
    <row r="29" spans="2:26" ht="15.75" customHeight="1" x14ac:dyDescent="0.25">
      <c r="B29" s="58"/>
      <c r="C29" s="21" t="s">
        <v>100</v>
      </c>
      <c r="D29" s="19" t="s">
        <v>47</v>
      </c>
      <c r="E29" s="21"/>
      <c r="F29" s="121">
        <f>IF(F28&lt;0,0,(F28*$E$7))</f>
        <v>0</v>
      </c>
      <c r="G29" s="124"/>
      <c r="H29" s="121">
        <f>IF(H28&lt;0,0,(H28*$E$7))</f>
        <v>0</v>
      </c>
      <c r="I29" s="124"/>
      <c r="J29" s="121">
        <f t="shared" ref="J29" si="40">IF(J28&lt;0,0,(J28*$E$7))</f>
        <v>24296.952600779219</v>
      </c>
      <c r="K29" s="124"/>
      <c r="L29" s="121">
        <f t="shared" ref="L29" si="41">IF(L28&lt;0,0,(L28*$E$7))</f>
        <v>0</v>
      </c>
      <c r="M29" s="124"/>
      <c r="N29" s="121">
        <f t="shared" ref="N29" si="42">IF(N28&lt;0,0,(N28*$E$7))</f>
        <v>46319.043507924311</v>
      </c>
      <c r="O29" s="125"/>
      <c r="P29" s="14"/>
      <c r="Q29" s="14"/>
      <c r="R29" s="14"/>
      <c r="S29" s="14"/>
      <c r="T29" s="14"/>
      <c r="U29" s="14"/>
      <c r="V29" s="14"/>
      <c r="W29" s="14"/>
      <c r="X29" s="14"/>
      <c r="Y29" s="14"/>
      <c r="Z29" s="14"/>
    </row>
    <row r="30" spans="2:26" x14ac:dyDescent="0.25">
      <c r="B30" s="58"/>
      <c r="C30" s="21" t="s">
        <v>99</v>
      </c>
      <c r="D30" s="19" t="s">
        <v>49</v>
      </c>
      <c r="E30" s="21"/>
      <c r="F30" s="121">
        <f>F29</f>
        <v>0</v>
      </c>
      <c r="G30" s="124"/>
      <c r="H30" s="121">
        <f>H29</f>
        <v>0</v>
      </c>
      <c r="I30" s="124"/>
      <c r="J30" s="121">
        <f t="shared" ref="J30" si="43">J29</f>
        <v>24296.952600779219</v>
      </c>
      <c r="K30" s="124"/>
      <c r="L30" s="121">
        <f t="shared" ref="L30" si="44">L29</f>
        <v>0</v>
      </c>
      <c r="M30" s="124"/>
      <c r="N30" s="121">
        <f t="shared" ref="N30" si="45">N29</f>
        <v>46319.043507924311</v>
      </c>
      <c r="O30" s="125"/>
      <c r="P30" s="25"/>
      <c r="Q30" s="14"/>
      <c r="R30" s="14"/>
      <c r="S30" s="14"/>
      <c r="T30" s="14"/>
      <c r="U30" s="14"/>
      <c r="V30" s="14"/>
      <c r="W30" s="14"/>
      <c r="X30" s="14"/>
      <c r="Y30" s="14"/>
      <c r="Z30" s="14"/>
    </row>
    <row r="31" spans="2:26" ht="15.75" customHeight="1" x14ac:dyDescent="0.25">
      <c r="B31" s="58"/>
      <c r="C31" s="18" t="s">
        <v>98</v>
      </c>
      <c r="D31" s="19" t="s">
        <v>52</v>
      </c>
      <c r="E31" s="18"/>
      <c r="F31" s="121" t="str">
        <f>IF(F29=0,"No","Yes")</f>
        <v>No</v>
      </c>
      <c r="G31" s="115"/>
      <c r="H31" s="121" t="str">
        <f>IF(H29=0,"No","Yes")</f>
        <v>No</v>
      </c>
      <c r="I31" s="115"/>
      <c r="J31" s="121" t="str">
        <f t="shared" ref="J31" si="46">IF(J29=0,"No","Yes")</f>
        <v>Yes</v>
      </c>
      <c r="K31" s="115"/>
      <c r="L31" s="121" t="str">
        <f t="shared" ref="L31" si="47">IF(L29=0,"No","Yes")</f>
        <v>No</v>
      </c>
      <c r="M31" s="115"/>
      <c r="N31" s="121" t="str">
        <f t="shared" ref="N31" si="48">IF(N29=0,"No","Yes")</f>
        <v>Yes</v>
      </c>
      <c r="O31" s="123"/>
      <c r="P31" s="20"/>
      <c r="Q31" s="20"/>
      <c r="R31" s="14"/>
      <c r="S31" s="14"/>
      <c r="T31" s="14"/>
      <c r="U31" s="20"/>
      <c r="V31" s="14"/>
      <c r="W31" s="14"/>
      <c r="X31" s="14"/>
      <c r="Y31" s="14"/>
      <c r="Z31" s="14"/>
    </row>
    <row r="32" spans="2:26" ht="15.75" customHeight="1" x14ac:dyDescent="0.25">
      <c r="B32" s="58"/>
      <c r="C32" s="126"/>
      <c r="D32" s="115"/>
      <c r="E32" s="115"/>
      <c r="F32" s="115"/>
      <c r="G32" s="115"/>
      <c r="H32" s="115"/>
      <c r="I32" s="115"/>
      <c r="J32" s="115"/>
      <c r="K32" s="115"/>
      <c r="L32" s="115"/>
      <c r="M32" s="115"/>
      <c r="N32" s="115"/>
      <c r="O32" s="123"/>
      <c r="P32" s="14"/>
      <c r="Q32" s="14"/>
      <c r="R32" s="14"/>
      <c r="S32" s="14"/>
      <c r="T32" s="14"/>
      <c r="U32" s="14"/>
      <c r="V32" s="14"/>
      <c r="W32" s="14"/>
      <c r="X32" s="14"/>
      <c r="Y32" s="14"/>
      <c r="Z32" s="14"/>
    </row>
    <row r="33" spans="2:26" ht="33" customHeight="1" x14ac:dyDescent="0.25">
      <c r="B33" s="58"/>
      <c r="C33" s="18" t="s">
        <v>54</v>
      </c>
      <c r="D33" s="19" t="s">
        <v>80</v>
      </c>
      <c r="E33" s="18"/>
      <c r="F33" s="130">
        <f>F24-F29</f>
        <v>3604300</v>
      </c>
      <c r="G33" s="115"/>
      <c r="H33" s="130">
        <f>H24-H29</f>
        <v>6341081.0329999998</v>
      </c>
      <c r="I33" s="115"/>
      <c r="J33" s="130">
        <f>J24-J29</f>
        <v>7556972.7088333601</v>
      </c>
      <c r="K33" s="115"/>
      <c r="L33" s="130">
        <f>L24-L29</f>
        <v>7390719.3092390262</v>
      </c>
      <c r="M33" s="115"/>
      <c r="N33" s="130">
        <f>N24-N29</f>
        <v>10105572.999662802</v>
      </c>
      <c r="O33" s="123"/>
      <c r="P33" s="14"/>
      <c r="Q33" s="14"/>
      <c r="R33" s="14"/>
      <c r="S33" s="14"/>
      <c r="T33" s="14"/>
      <c r="U33" s="14"/>
      <c r="V33" s="14"/>
      <c r="W33" s="14"/>
      <c r="X33" s="14"/>
      <c r="Y33" s="14"/>
      <c r="Z33" s="14"/>
    </row>
    <row r="34" spans="2:26" ht="29.25" customHeight="1" x14ac:dyDescent="0.25">
      <c r="B34" s="58"/>
      <c r="C34" s="18" t="s">
        <v>10</v>
      </c>
      <c r="D34" s="19" t="s">
        <v>97</v>
      </c>
      <c r="E34" s="18"/>
      <c r="F34" s="137">
        <f>(F33-F13)/F13</f>
        <v>-0.27914</v>
      </c>
      <c r="G34" s="115"/>
      <c r="H34" s="137">
        <f>(H33-H13)/H13</f>
        <v>0.75930999999999993</v>
      </c>
      <c r="I34" s="115"/>
      <c r="J34" s="137">
        <f>(J33-J13)/J13</f>
        <v>0.19174832642977838</v>
      </c>
      <c r="K34" s="115"/>
      <c r="L34" s="137">
        <f>(L33-L13)/L13</f>
        <v>-2.2000000000000006E-2</v>
      </c>
      <c r="M34" s="115"/>
      <c r="N34" s="137">
        <f>(N33-N13)/N13</f>
        <v>0.36733280981595096</v>
      </c>
      <c r="O34" s="123"/>
      <c r="P34" s="14"/>
      <c r="Q34" s="14"/>
      <c r="R34" s="14"/>
      <c r="S34" s="14"/>
      <c r="T34" s="14"/>
      <c r="U34" s="14"/>
      <c r="V34" s="14"/>
      <c r="W34" s="14"/>
      <c r="X34" s="14"/>
      <c r="Y34" s="14"/>
      <c r="Z34" s="14"/>
    </row>
    <row r="35" spans="2:26" ht="15.75" customHeight="1" x14ac:dyDescent="0.25">
      <c r="B35" s="58"/>
      <c r="C35" s="126"/>
      <c r="D35" s="115"/>
      <c r="E35" s="115"/>
      <c r="F35" s="115"/>
      <c r="G35" s="115"/>
      <c r="H35" s="115"/>
      <c r="I35" s="115"/>
      <c r="J35" s="115"/>
      <c r="K35" s="115"/>
      <c r="L35" s="115"/>
      <c r="M35" s="115"/>
      <c r="N35" s="115"/>
      <c r="O35" s="123"/>
      <c r="P35" s="14"/>
      <c r="Q35" s="14"/>
      <c r="R35" s="14"/>
      <c r="S35" s="14"/>
      <c r="T35" s="14"/>
      <c r="U35" s="14"/>
      <c r="V35" s="14"/>
      <c r="W35" s="14"/>
      <c r="X35" s="14"/>
      <c r="Y35" s="14"/>
      <c r="Z35" s="14"/>
    </row>
    <row r="36" spans="2:26" ht="15.75" customHeight="1" x14ac:dyDescent="0.25">
      <c r="B36" s="58"/>
      <c r="C36" s="18" t="s">
        <v>115</v>
      </c>
      <c r="D36" s="19" t="s">
        <v>96</v>
      </c>
      <c r="E36" s="18"/>
      <c r="F36" s="121">
        <f>IF(F30&gt;0,F24,F13)</f>
        <v>5000000</v>
      </c>
      <c r="G36" s="115"/>
      <c r="H36" s="121">
        <f>IF(H30&gt;0,H24,H25)</f>
        <v>5000000</v>
      </c>
      <c r="I36" s="115"/>
      <c r="J36" s="121">
        <f>IF(J30&gt;0,J24,J13)</f>
        <v>7581269.6614341391</v>
      </c>
      <c r="K36" s="115"/>
      <c r="L36" s="121">
        <f>IF(L30&gt;0,L24,L13)</f>
        <v>7556972.7088333601</v>
      </c>
      <c r="M36" s="115"/>
      <c r="N36" s="121">
        <f>IF(N30&gt;0,N24,N13)</f>
        <v>10151892.043170726</v>
      </c>
      <c r="O36" s="123"/>
      <c r="P36" s="17"/>
      <c r="Q36" s="14"/>
      <c r="R36" s="14"/>
      <c r="S36" s="14"/>
      <c r="T36" s="14"/>
      <c r="U36" s="14"/>
      <c r="V36" s="14"/>
      <c r="W36" s="14"/>
      <c r="X36" s="14"/>
      <c r="Y36" s="14"/>
      <c r="Z36" s="14"/>
    </row>
    <row r="37" spans="2:26" ht="15.75" customHeight="1" thickBot="1" x14ac:dyDescent="0.3">
      <c r="B37" s="58"/>
      <c r="C37" s="75"/>
      <c r="D37" s="16"/>
      <c r="E37" s="15"/>
      <c r="F37" s="14"/>
      <c r="G37" s="14"/>
      <c r="H37" s="14"/>
      <c r="I37" s="14"/>
      <c r="J37" s="14"/>
      <c r="K37" s="14"/>
      <c r="L37" s="14"/>
      <c r="M37" s="14"/>
      <c r="N37" s="14"/>
      <c r="O37" s="60"/>
      <c r="P37" s="14"/>
      <c r="Q37" s="14"/>
      <c r="R37" s="14"/>
      <c r="S37" s="14"/>
      <c r="T37" s="14"/>
      <c r="U37" s="14"/>
      <c r="V37" s="14"/>
      <c r="W37" s="14"/>
      <c r="X37" s="14"/>
      <c r="Y37" s="14"/>
      <c r="Z37" s="14"/>
    </row>
    <row r="38" spans="2:26" ht="15.75" customHeight="1" thickBot="1" x14ac:dyDescent="0.3">
      <c r="B38" s="134" t="s">
        <v>88</v>
      </c>
      <c r="C38" s="135"/>
      <c r="D38" s="135"/>
      <c r="E38" s="135"/>
      <c r="F38" s="135"/>
      <c r="G38" s="135"/>
      <c r="H38" s="135"/>
      <c r="I38" s="135"/>
      <c r="J38" s="135"/>
      <c r="K38" s="135"/>
      <c r="L38" s="135"/>
      <c r="M38" s="135"/>
      <c r="N38" s="135"/>
      <c r="O38" s="136"/>
      <c r="P38" s="14"/>
      <c r="Q38" s="14"/>
      <c r="R38" s="14"/>
      <c r="S38" s="14"/>
      <c r="T38" s="14"/>
      <c r="U38" s="14"/>
      <c r="V38" s="14"/>
      <c r="W38" s="14"/>
      <c r="X38" s="14"/>
      <c r="Y38" s="14"/>
      <c r="Z38" s="14"/>
    </row>
    <row r="39" spans="2:26" ht="35.450000000000003" customHeight="1" thickBot="1" x14ac:dyDescent="0.3">
      <c r="B39" s="52">
        <v>1</v>
      </c>
      <c r="C39" s="131" t="s">
        <v>116</v>
      </c>
      <c r="D39" s="132"/>
      <c r="E39" s="132"/>
      <c r="F39" s="132"/>
      <c r="G39" s="132"/>
      <c r="H39" s="132"/>
      <c r="I39" s="132"/>
      <c r="J39" s="132"/>
      <c r="K39" s="132"/>
      <c r="L39" s="132"/>
      <c r="M39" s="132"/>
      <c r="N39" s="132"/>
      <c r="O39" s="133"/>
      <c r="P39" s="14"/>
      <c r="Q39" s="14"/>
      <c r="R39" s="14"/>
      <c r="S39" s="14"/>
      <c r="T39" s="14"/>
      <c r="U39" s="14"/>
      <c r="V39" s="14"/>
      <c r="W39" s="14"/>
      <c r="X39" s="14"/>
      <c r="Y39" s="14"/>
      <c r="Z39" s="14"/>
    </row>
    <row r="40" spans="2:26" ht="15.75" customHeight="1" x14ac:dyDescent="0.25">
      <c r="B40" s="14"/>
      <c r="C40" s="15"/>
      <c r="D40" s="16"/>
      <c r="E40" s="15"/>
      <c r="F40" s="14"/>
      <c r="G40" s="14"/>
      <c r="H40" s="14"/>
      <c r="I40" s="14"/>
      <c r="J40" s="14"/>
      <c r="K40" s="14"/>
      <c r="L40" s="14"/>
      <c r="M40" s="14"/>
      <c r="N40" s="14"/>
      <c r="O40" s="14"/>
      <c r="P40" s="14"/>
      <c r="Q40" s="14"/>
      <c r="R40" s="14"/>
      <c r="S40" s="14"/>
      <c r="T40" s="14"/>
      <c r="U40" s="14"/>
      <c r="V40" s="14"/>
      <c r="W40" s="14"/>
      <c r="X40" s="14"/>
      <c r="Y40" s="14"/>
      <c r="Z40" s="14"/>
    </row>
    <row r="41" spans="2:26" ht="15.75" customHeight="1" x14ac:dyDescent="0.25">
      <c r="B41" s="14"/>
      <c r="C41" s="15"/>
      <c r="D41" s="16"/>
      <c r="E41" s="15"/>
      <c r="F41" s="14"/>
      <c r="G41" s="14"/>
      <c r="H41" s="14"/>
      <c r="I41" s="14"/>
      <c r="J41" s="14"/>
      <c r="K41" s="14"/>
      <c r="L41" s="14"/>
      <c r="M41" s="14"/>
      <c r="N41" s="14"/>
      <c r="O41" s="14"/>
      <c r="P41" s="14"/>
      <c r="Q41" s="14"/>
      <c r="R41" s="14"/>
      <c r="S41" s="14"/>
      <c r="T41" s="14"/>
      <c r="U41" s="14"/>
      <c r="V41" s="14"/>
      <c r="W41" s="14"/>
      <c r="X41" s="14"/>
      <c r="Y41" s="14"/>
      <c r="Z41" s="14"/>
    </row>
    <row r="42" spans="2:26" ht="15.75" customHeight="1" x14ac:dyDescent="0.25">
      <c r="B42" s="14"/>
      <c r="C42" s="15"/>
      <c r="D42" s="16"/>
      <c r="E42" s="15"/>
      <c r="F42" s="14"/>
      <c r="G42" s="14"/>
      <c r="H42" s="14"/>
      <c r="I42" s="14"/>
      <c r="J42" s="14"/>
      <c r="K42" s="14"/>
      <c r="L42" s="14"/>
      <c r="M42" s="14"/>
      <c r="N42" s="14"/>
      <c r="O42" s="14"/>
      <c r="P42" s="14"/>
      <c r="Q42" s="14"/>
      <c r="R42" s="14"/>
      <c r="S42" s="14"/>
      <c r="T42" s="14"/>
      <c r="U42" s="14"/>
      <c r="V42" s="14"/>
      <c r="W42" s="14"/>
      <c r="X42" s="14"/>
      <c r="Y42" s="14"/>
      <c r="Z42" s="14"/>
    </row>
    <row r="43" spans="2:26" ht="15.75" customHeight="1" x14ac:dyDescent="0.25">
      <c r="B43" s="14"/>
      <c r="C43" s="15"/>
      <c r="D43" s="16"/>
      <c r="E43" s="15"/>
      <c r="F43" s="14"/>
      <c r="G43" s="14"/>
      <c r="H43" s="14"/>
      <c r="I43" s="14"/>
      <c r="J43" s="14"/>
      <c r="K43" s="14"/>
      <c r="L43" s="14"/>
      <c r="M43" s="14"/>
      <c r="N43" s="14"/>
      <c r="O43" s="14"/>
      <c r="P43" s="14"/>
      <c r="Q43" s="14"/>
      <c r="R43" s="14"/>
      <c r="S43" s="14"/>
      <c r="T43" s="14"/>
      <c r="U43" s="14"/>
      <c r="V43" s="14"/>
      <c r="W43" s="14"/>
      <c r="X43" s="14"/>
      <c r="Y43" s="14"/>
      <c r="Z43" s="14"/>
    </row>
    <row r="44" spans="2:26" ht="15.75" customHeight="1" x14ac:dyDescent="0.25">
      <c r="B44" s="14"/>
      <c r="C44" s="15"/>
      <c r="D44" s="16"/>
      <c r="E44" s="15"/>
      <c r="F44" s="14"/>
      <c r="G44" s="14"/>
      <c r="H44" s="14"/>
      <c r="I44" s="14"/>
      <c r="J44" s="14"/>
      <c r="K44" s="14"/>
      <c r="L44" s="14"/>
      <c r="M44" s="14"/>
      <c r="N44" s="14"/>
      <c r="O44" s="14"/>
      <c r="P44" s="14"/>
      <c r="Q44" s="14"/>
      <c r="R44" s="14"/>
      <c r="S44" s="14"/>
      <c r="T44" s="14"/>
      <c r="U44" s="14"/>
      <c r="V44" s="14"/>
      <c r="W44" s="14"/>
      <c r="X44" s="14"/>
      <c r="Y44" s="14"/>
      <c r="Z44" s="14"/>
    </row>
    <row r="45" spans="2:26" ht="15.75" customHeight="1" x14ac:dyDescent="0.25">
      <c r="B45" s="14"/>
      <c r="C45" s="15"/>
      <c r="D45" s="16"/>
      <c r="E45" s="15"/>
      <c r="F45" s="14"/>
      <c r="G45" s="14"/>
      <c r="H45" s="14"/>
      <c r="I45" s="14"/>
      <c r="J45" s="14"/>
      <c r="K45" s="14"/>
      <c r="L45" s="14"/>
      <c r="M45" s="14"/>
      <c r="N45" s="14"/>
      <c r="O45" s="14"/>
      <c r="P45" s="14"/>
      <c r="Q45" s="14"/>
      <c r="R45" s="14"/>
      <c r="S45" s="14"/>
      <c r="T45" s="14"/>
      <c r="U45" s="14"/>
      <c r="V45" s="14"/>
      <c r="W45" s="14"/>
      <c r="X45" s="14"/>
      <c r="Y45" s="14"/>
      <c r="Z45" s="14"/>
    </row>
    <row r="46" spans="2:26" ht="15.75" customHeight="1" x14ac:dyDescent="0.25">
      <c r="B46" s="14"/>
      <c r="C46" s="15"/>
      <c r="D46" s="16"/>
      <c r="E46" s="15"/>
      <c r="F46" s="14"/>
      <c r="G46" s="14"/>
      <c r="H46" s="14"/>
      <c r="I46" s="14"/>
      <c r="J46" s="14"/>
      <c r="K46" s="14"/>
      <c r="L46" s="14"/>
      <c r="M46" s="14"/>
      <c r="N46" s="14"/>
      <c r="O46" s="14"/>
      <c r="P46" s="14"/>
      <c r="Q46" s="14"/>
      <c r="R46" s="14"/>
      <c r="S46" s="14"/>
      <c r="T46" s="14"/>
      <c r="U46" s="14"/>
      <c r="V46" s="14"/>
      <c r="W46" s="14"/>
      <c r="X46" s="14"/>
      <c r="Y46" s="14"/>
      <c r="Z46" s="14"/>
    </row>
    <row r="47" spans="2:26" ht="15.75" customHeight="1" x14ac:dyDescent="0.25">
      <c r="B47" s="14"/>
      <c r="C47" s="15"/>
      <c r="D47" s="16"/>
      <c r="E47" s="15"/>
      <c r="F47" s="14"/>
      <c r="G47" s="14"/>
      <c r="H47" s="14"/>
      <c r="I47" s="14"/>
      <c r="J47" s="14"/>
      <c r="K47" s="14"/>
      <c r="L47" s="14"/>
      <c r="M47" s="14"/>
      <c r="N47" s="14"/>
      <c r="O47" s="14"/>
      <c r="P47" s="14"/>
      <c r="Q47" s="14"/>
      <c r="R47" s="14"/>
      <c r="S47" s="14"/>
      <c r="T47" s="14"/>
      <c r="U47" s="14"/>
      <c r="V47" s="14"/>
      <c r="W47" s="14"/>
      <c r="X47" s="14"/>
      <c r="Y47" s="14"/>
      <c r="Z47" s="14"/>
    </row>
    <row r="48" spans="2:26" ht="15.75" customHeight="1" x14ac:dyDescent="0.25">
      <c r="B48" s="14"/>
      <c r="C48" s="14"/>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25">
      <c r="B49" s="14"/>
      <c r="C49" s="15"/>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25">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25">
      <c r="B51" s="14"/>
      <c r="C51" s="14"/>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25">
      <c r="B52" s="14"/>
      <c r="C52" s="14"/>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25">
      <c r="B53" s="14"/>
      <c r="C53" s="14"/>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25">
      <c r="B54" s="14"/>
      <c r="C54" s="15"/>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25">
      <c r="B55" s="14"/>
      <c r="C55" s="15"/>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25">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25">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25">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25">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25">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25">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25">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25">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25">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25">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25">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25">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25">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25">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25">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25">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25">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25">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25">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25">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25">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25">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25">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25">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25">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25">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25">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25">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25">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25">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25">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25">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25">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25">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25">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25">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25">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25">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25">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25">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25">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25">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25">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25">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25">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25">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25">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25">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25">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25">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25">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25">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25">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25">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25">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25">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25">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25">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25">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25">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25">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25">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25">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25">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25">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25">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25">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25">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25">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25">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25">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25">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25">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25">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25">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25">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25">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25">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25">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25">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25">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25">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25">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25">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25">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25">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25">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25">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25">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25">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25">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25">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25">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25">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25">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25">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25">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25">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25">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25">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25">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25">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25">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25">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25">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25">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25">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25">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25">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25">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25">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25">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25">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25">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25">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25">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25">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25">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25">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25">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25">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25">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25">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25">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25">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25">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25">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25">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25">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25">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25">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25">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25">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25">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25">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25">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25">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25">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25">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25">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25">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25">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25">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25">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25">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25">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25">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25">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25">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25">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25">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25">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25">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25">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25">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25">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25">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25">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25">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25">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25">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25">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25">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25">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25">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25">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25">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25">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25">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25">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25">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25">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25">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25">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25">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25">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25">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25">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25">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25">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25">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25">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25">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25">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25">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25">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25">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25">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25">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25">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25">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25">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25">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25">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25">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25">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25">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25">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25">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25">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25">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25">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25">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25">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25">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25">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25">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25">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25">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25">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25">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25">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25">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25">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25">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25">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25">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25">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25">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25">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25">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25">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25">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25">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25">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25">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25">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25">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25">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25">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25">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25">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25">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25">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25">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25">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25">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25">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25">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25">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25">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25">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25">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25">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25">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25">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25">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25">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25">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25">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25">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25">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25">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25">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25">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25">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25">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25">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25">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25">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25">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25">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25">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25">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25">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25">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25">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25">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25">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25">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25">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25">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25">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25">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25">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25">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25">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25">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25">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25">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25">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25">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25">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25">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25">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25">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25">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25">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25">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25">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25">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25">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25">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25">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25">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25">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25">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25">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25">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25">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25">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25">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25">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25">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25">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25">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25">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25">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25">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25">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25">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25">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25">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25">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25">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25">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25">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25">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25">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25">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25">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25">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25">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25">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25">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25">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25">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25">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25">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25">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25">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25">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25">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25">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25">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25">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25">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25">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25">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25">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25">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25">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25">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25">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25">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25">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25">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25">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25">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25">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25">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25">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25">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25">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25">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25">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25">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25">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25">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25">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25">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25">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25">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25">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25">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25">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25">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25">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25">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25">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25">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25">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25">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25">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25">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25">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25">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25">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25">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25">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25">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25">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25">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25">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25">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25">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25">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25">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25">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25">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25">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25">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25">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25">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25">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25">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25">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25">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25">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25">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25">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25">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25">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25">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25">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25">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25">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25">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25">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25">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25">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25">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25">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25">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25">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25">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25">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25">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25">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25">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25">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25">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25">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25">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25">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25">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25">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25">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25">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25">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25">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25">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25">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25">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25">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25">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25">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25">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25">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25">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25">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25">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25">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25">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25">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25">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25">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25">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25">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25">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25">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25">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25">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25">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25">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25">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25">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25">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25">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25">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25">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25">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25">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25">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25">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25">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25">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25">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25">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25">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25">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25">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25">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25">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25">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25">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25">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25">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25">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25">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25">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25">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25">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25">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25">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25">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25">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25">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25">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25">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25">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25">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25">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25">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25">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25">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25">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25">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25">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25">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25">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25">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25">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25">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25">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25">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25">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25">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25">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25">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25">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25">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25">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25">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25">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25">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25">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25">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25">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25">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25">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25">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25">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25">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25">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25">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25">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25">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25">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25">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25">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25">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25">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25">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25">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25">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25">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25">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25">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25">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25">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25">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25">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25">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25">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25">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25">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25">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25">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25">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25">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25">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25">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25">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25">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25">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25">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25">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25">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25">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25">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25">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25">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25">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25">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25">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25">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25">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25">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25">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25">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25">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25">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25">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25">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25">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25">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25">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25">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25">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25">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25">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25">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25">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25">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25">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25">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25">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25">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25">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25">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25">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25">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25">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25">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25">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25">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25">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25">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25">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25">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25">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25">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25">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25">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25">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25">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25">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25">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25">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25">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25">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25">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25">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25">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25">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25">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25">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25">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25">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25">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25">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25">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25">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25">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25">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25">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25">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25">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25">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25">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25">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25">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25">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25">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25">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25">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25">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25">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25">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25">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25">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25">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25">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25">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25">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25">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25">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25">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25">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25">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25">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25">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25">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25">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25">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25">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25">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25">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25">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25">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25">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25">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25">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25">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25">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25">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25">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25">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25">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25">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25">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25">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25">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25">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25">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25">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25">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25">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25">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25">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25">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25">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25">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25">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25">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25">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25">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25">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25">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25">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25">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25">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25">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25">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25">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25">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25">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25">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25">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25">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25">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25">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25">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25">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25">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25">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25">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25">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25">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25">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25">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25">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25">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25">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25">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25">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25">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25">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25">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25">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25">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25">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25">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25">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25">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25">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25">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25">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25">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25">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25">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25">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25">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25">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25">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25">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25">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25">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25">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25">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25">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25">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25">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25">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25">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25">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25">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25">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25">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25">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25">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25">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25">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25">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25">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25">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25">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25">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25">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25">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25">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25">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25">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25">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25">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25">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25">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25">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25">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25">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25">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25">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25">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25">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25">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25">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25">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25">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25">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25">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25">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25">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25">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25">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25">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25">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25">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25">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25">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25">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25">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25">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25">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25">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25">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25">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25">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25">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25">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25">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25">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25">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25">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25">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25">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25">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25">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25">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25">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25">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25">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25">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25">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25">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25">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25">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25">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25">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25">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25">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25">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25">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25">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25">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25">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25">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25">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25">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25">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25">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25">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25">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25">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25">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25">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25">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25">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25">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25">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25">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25">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25">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25">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25">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25">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25">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25">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25">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25">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25">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25">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25">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25">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25">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25">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25">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25">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25">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25">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25">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25">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25">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25">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25">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25">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25">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25">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25">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25">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25">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25">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25">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25">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25">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25">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25">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25">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25">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25">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25">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25">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25">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25">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25">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25">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25">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25">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25">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25">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25">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25">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25">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25">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25">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25">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25">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25">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25">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25">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25">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25">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25">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25">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25">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25">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25">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25">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25">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25">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25">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25">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25">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25">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25">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25">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25">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25">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25">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25">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25">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25">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25">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25">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25">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25">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25">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row r="983" spans="2:26" ht="15.75" customHeight="1" x14ac:dyDescent="0.25">
      <c r="B983" s="14"/>
      <c r="C983" s="15"/>
      <c r="D983" s="16"/>
      <c r="E983" s="15"/>
      <c r="F983" s="14"/>
      <c r="G983" s="14"/>
      <c r="H983" s="14"/>
      <c r="I983" s="14"/>
      <c r="J983" s="14"/>
      <c r="K983" s="14"/>
      <c r="L983" s="14"/>
      <c r="M983" s="14"/>
      <c r="N983" s="14"/>
      <c r="O983" s="14"/>
      <c r="P983" s="14"/>
      <c r="Q983" s="14"/>
      <c r="R983" s="14"/>
      <c r="S983" s="14"/>
      <c r="T983" s="14"/>
      <c r="U983" s="14"/>
      <c r="V983" s="14"/>
      <c r="W983" s="14"/>
      <c r="X983" s="14"/>
      <c r="Y983" s="14"/>
      <c r="Z983" s="14"/>
    </row>
    <row r="984" spans="2:26" ht="15.75" customHeight="1" x14ac:dyDescent="0.25">
      <c r="B984" s="14"/>
      <c r="C984" s="15"/>
      <c r="D984" s="16"/>
      <c r="E984" s="15"/>
      <c r="F984" s="14"/>
      <c r="G984" s="14"/>
      <c r="H984" s="14"/>
      <c r="I984" s="14"/>
      <c r="J984" s="14"/>
      <c r="K984" s="14"/>
      <c r="L984" s="14"/>
      <c r="M984" s="14"/>
      <c r="N984" s="14"/>
      <c r="O984" s="14"/>
      <c r="P984" s="14"/>
      <c r="Q984" s="14"/>
      <c r="R984" s="14"/>
      <c r="S984" s="14"/>
      <c r="T984" s="14"/>
      <c r="U984" s="14"/>
      <c r="V984" s="14"/>
      <c r="W984" s="14"/>
      <c r="X984" s="14"/>
      <c r="Y984" s="14"/>
      <c r="Z984" s="14"/>
    </row>
    <row r="985" spans="2:26" ht="15.75" customHeight="1" x14ac:dyDescent="0.25">
      <c r="B985" s="14"/>
      <c r="C985" s="15"/>
      <c r="D985" s="16"/>
      <c r="E985" s="15"/>
      <c r="F985" s="14"/>
      <c r="G985" s="14"/>
      <c r="H985" s="14"/>
      <c r="I985" s="14"/>
      <c r="J985" s="14"/>
      <c r="K985" s="14"/>
      <c r="L985" s="14"/>
      <c r="M985" s="14"/>
      <c r="N985" s="14"/>
      <c r="O985" s="14"/>
      <c r="P985" s="14"/>
      <c r="Q985" s="14"/>
      <c r="R985" s="14"/>
      <c r="S985" s="14"/>
      <c r="T985" s="14"/>
      <c r="U985" s="14"/>
      <c r="V985" s="14"/>
      <c r="W985" s="14"/>
      <c r="X985" s="14"/>
      <c r="Y985" s="14"/>
      <c r="Z985" s="14"/>
    </row>
  </sheetData>
  <sheetProtection algorithmName="SHA-512" hashValue="Yt6LS3GYoDcdVfCuhRp4fkUyxdtubb1x+e1WJ4/agpnoqvTD/RB4fS9fMtiAn107AMOXEzPiTDMjqHYeQ9FU9A==" saltValue="4+8IaSqKASlOvN4FYBkSfQ==" spinCount="100000" sheet="1" formatCells="0" formatColumns="0" formatRows="0" insertColumns="0" insertRows="0" insertHyperlinks="0" deleteColumns="0" deleteRows="0" sort="0" autoFilter="0" pivotTables="0"/>
  <mergeCells count="110">
    <mergeCell ref="H27:I27"/>
    <mergeCell ref="J27:K27"/>
    <mergeCell ref="L27:M27"/>
    <mergeCell ref="N27:O27"/>
    <mergeCell ref="N24:O24"/>
    <mergeCell ref="H25:I25"/>
    <mergeCell ref="N25:O25"/>
    <mergeCell ref="F25:G25"/>
    <mergeCell ref="F26:G26"/>
    <mergeCell ref="H26:I26"/>
    <mergeCell ref="J26:K26"/>
    <mergeCell ref="L26:M26"/>
    <mergeCell ref="N26:O26"/>
    <mergeCell ref="J25:K25"/>
    <mergeCell ref="L25:M25"/>
    <mergeCell ref="F24:G24"/>
    <mergeCell ref="H24:I24"/>
    <mergeCell ref="J24:K24"/>
    <mergeCell ref="L24:M24"/>
    <mergeCell ref="L22:M22"/>
    <mergeCell ref="N22:O22"/>
    <mergeCell ref="C23:O23"/>
    <mergeCell ref="C39:O39"/>
    <mergeCell ref="B38:O38"/>
    <mergeCell ref="F36:G36"/>
    <mergeCell ref="H36:I36"/>
    <mergeCell ref="N31:O31"/>
    <mergeCell ref="F31:G31"/>
    <mergeCell ref="F27:G27"/>
    <mergeCell ref="J36:K36"/>
    <mergeCell ref="L36:M36"/>
    <mergeCell ref="N36:O36"/>
    <mergeCell ref="L34:M34"/>
    <mergeCell ref="N34:O34"/>
    <mergeCell ref="C35:O35"/>
    <mergeCell ref="F34:G34"/>
    <mergeCell ref="H34:I34"/>
    <mergeCell ref="J34:K34"/>
    <mergeCell ref="L28:M28"/>
    <mergeCell ref="N28:O28"/>
    <mergeCell ref="H29:I29"/>
    <mergeCell ref="N29:O29"/>
    <mergeCell ref="F29:G29"/>
    <mergeCell ref="F30:G30"/>
    <mergeCell ref="H30:I30"/>
    <mergeCell ref="J30:K30"/>
    <mergeCell ref="L30:M30"/>
    <mergeCell ref="N30:O30"/>
    <mergeCell ref="J29:K29"/>
    <mergeCell ref="L29:M29"/>
    <mergeCell ref="H31:I31"/>
    <mergeCell ref="J31:K31"/>
    <mergeCell ref="L31:M31"/>
    <mergeCell ref="C16:O16"/>
    <mergeCell ref="L19:M19"/>
    <mergeCell ref="N19:O19"/>
    <mergeCell ref="C32:O32"/>
    <mergeCell ref="H33:I33"/>
    <mergeCell ref="J33:K33"/>
    <mergeCell ref="L33:M33"/>
    <mergeCell ref="N33:O33"/>
    <mergeCell ref="F28:G28"/>
    <mergeCell ref="H28:I28"/>
    <mergeCell ref="J28:K28"/>
    <mergeCell ref="J19:K19"/>
    <mergeCell ref="F20:G20"/>
    <mergeCell ref="H20:I20"/>
    <mergeCell ref="J20:K20"/>
    <mergeCell ref="H21:I21"/>
    <mergeCell ref="J21:K21"/>
    <mergeCell ref="F21:G21"/>
    <mergeCell ref="L21:M21"/>
    <mergeCell ref="N21:O21"/>
    <mergeCell ref="F33:G33"/>
    <mergeCell ref="F22:G22"/>
    <mergeCell ref="H22:I22"/>
    <mergeCell ref="J22:K22"/>
    <mergeCell ref="L20:M20"/>
    <mergeCell ref="N20:O20"/>
    <mergeCell ref="F17:G17"/>
    <mergeCell ref="H17:I17"/>
    <mergeCell ref="J17:K17"/>
    <mergeCell ref="L17:M17"/>
    <mergeCell ref="N17:O17"/>
    <mergeCell ref="C18:K18"/>
    <mergeCell ref="F19:G19"/>
    <mergeCell ref="H19:I19"/>
    <mergeCell ref="L18:M18"/>
    <mergeCell ref="N18:O18"/>
    <mergeCell ref="C11:E12"/>
    <mergeCell ref="F11:G11"/>
    <mergeCell ref="H11:I11"/>
    <mergeCell ref="J11:K11"/>
    <mergeCell ref="L11:M11"/>
    <mergeCell ref="N11:O11"/>
    <mergeCell ref="F13:G13"/>
    <mergeCell ref="J15:K15"/>
    <mergeCell ref="L13:M13"/>
    <mergeCell ref="N13:O13"/>
    <mergeCell ref="L14:M14"/>
    <mergeCell ref="N14:O14"/>
    <mergeCell ref="L15:M15"/>
    <mergeCell ref="N15:O15"/>
    <mergeCell ref="H13:I13"/>
    <mergeCell ref="J13:K13"/>
    <mergeCell ref="F14:G14"/>
    <mergeCell ref="H14:I14"/>
    <mergeCell ref="J14:K14"/>
    <mergeCell ref="F15:G15"/>
    <mergeCell ref="H15:I15"/>
  </mergeCells>
  <pageMargins left="0.7" right="0.7" top="0.75" bottom="0.75" header="0" footer="0"/>
  <pageSetup orientation="portrait"/>
  <ignoredErrors>
    <ignoredError sqref="J2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One Year-Fixed Fees</vt:lpstr>
      <vt:lpstr>One Year-Hybrid Fees</vt:lpstr>
      <vt:lpstr>One Year- Variable Fees</vt:lpstr>
      <vt:lpstr>Multi Year- Hybrid Fees</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Mahesh Gowande</cp:lastModifiedBy>
  <cp:lastPrinted>2024-07-29T09:59:59Z</cp:lastPrinted>
  <dcterms:created xsi:type="dcterms:W3CDTF">2024-06-06T09:43:50Z</dcterms:created>
  <dcterms:modified xsi:type="dcterms:W3CDTF">2025-02-14T05:42:42Z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